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6162" sheetId="1" r:id="rId1"/>
    <sheet name="Sheet2" sheetId="2" r:id="rId2"/>
  </sheets>
  <definedNames>
    <definedName name="_xlnm.Print_Titles" localSheetId="0">'6162'!$A:$A,'6162'!$6:$7</definedName>
  </definedNames>
  <calcPr fullCalcOnLoad="1"/>
</workbook>
</file>

<file path=xl/sharedStrings.xml><?xml version="1.0" encoding="utf-8"?>
<sst xmlns="http://schemas.openxmlformats.org/spreadsheetml/2006/main" count="331" uniqueCount="235">
  <si>
    <t>ถึงวันนี้</t>
  </si>
  <si>
    <t>รวม(กส.)</t>
  </si>
  <si>
    <t>เทกอง(ตัน)</t>
  </si>
  <si>
    <t>กระสอบ</t>
  </si>
  <si>
    <t>รวม (กส.)</t>
  </si>
  <si>
    <t>กก.</t>
  </si>
  <si>
    <t>ภาคเหนือ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</si>
  <si>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</si>
  <si>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</si>
  <si>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</si>
  <si>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</si>
  <si>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เกษตรไทยอินเตอร์ฯ(รวมผล)</t>
  </si>
  <si>
    <t>นครเพชร</t>
  </si>
  <si>
    <t>เกษตรไทยอินเตอร์ฯ</t>
  </si>
  <si>
    <t>ไทยรุ่งเรือง</t>
  </si>
  <si>
    <t>พิษณุโลก</t>
  </si>
  <si>
    <t>ไทยอุตสาหกรรม(เพชรบูรณ์)</t>
  </si>
  <si>
    <t>**รวม**</t>
  </si>
  <si>
    <t>ภาคกลาง</t>
  </si>
  <si>
    <t>สิงห์บุรี</t>
  </si>
  <si>
    <t>สุพรรณบุรี</t>
  </si>
  <si>
    <t>รีไฟน์ชัยมงคล</t>
  </si>
  <si>
    <t>ไทยเพิ่มพูน</t>
  </si>
  <si>
    <t>ไทยอุตสาหกรรม</t>
  </si>
  <si>
    <t>ประจวบอุตฯ</t>
  </si>
  <si>
    <t>ท่ามะกา</t>
  </si>
  <si>
    <t>นิวกรุงไทย</t>
  </si>
  <si>
    <t>อุตสาหกรรมน้ำตาลบ้านไร่</t>
  </si>
  <si>
    <t>ไทยกาญจนบุรี</t>
  </si>
  <si>
    <t>มิตรเกษตร</t>
  </si>
  <si>
    <t>มิตรผล</t>
  </si>
  <si>
    <t>บ้านโป่ง</t>
  </si>
  <si>
    <t>ราชบุรี</t>
  </si>
  <si>
    <t>ที.เอ็น.</t>
  </si>
  <si>
    <t>ปราณบุรี</t>
  </si>
  <si>
    <t>สระบุรี</t>
  </si>
  <si>
    <t>มิตรเกษตรอุทัยธานี</t>
  </si>
  <si>
    <t>สระบุรี(สระโบสถ์)</t>
  </si>
  <si>
    <t>ราชบุรี(กาญจนบุรี)</t>
  </si>
  <si>
    <t>ภาคตะวันออก</t>
  </si>
  <si>
    <t>นิวกว้าง</t>
  </si>
  <si>
    <t>สหการชลบุรี</t>
  </si>
  <si>
    <t>น้ำตาลและอ้อยตะวันออก</t>
  </si>
  <si>
    <t>ระยอง</t>
  </si>
  <si>
    <t>ภาคตะวันออกเฉียงเหนือ</t>
  </si>
  <si>
    <t>สุรินทร์</t>
  </si>
  <si>
    <t>อีสาน</t>
  </si>
  <si>
    <t>มิตรกาฬสินธุ์</t>
  </si>
  <si>
    <t>วังขนาย(มหาวัง)</t>
  </si>
  <si>
    <t>เกษตรผล</t>
  </si>
  <si>
    <t>โคราช</t>
  </si>
  <si>
    <t>รวมเกษตรกร(ขก.)</t>
  </si>
  <si>
    <t>อ่างเวียน</t>
  </si>
  <si>
    <t>ครบุรี</t>
  </si>
  <si>
    <t>เริ่มอุดม</t>
  </si>
  <si>
    <t>กุมภวาปี</t>
  </si>
  <si>
    <t>ขอนแก่น</t>
  </si>
  <si>
    <t>สหเรือง</t>
  </si>
  <si>
    <t>บุรีรัมย์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</si>
  <si>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</si>
  <si>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</si>
  <si>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</si>
  <si>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</si>
  <si>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</si>
  <si>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ระยอง(ชัยภูมิ)</t>
  </si>
  <si>
    <t>รวมทั้งสิ้น</t>
  </si>
  <si>
    <t>หมายเหตุ</t>
  </si>
  <si>
    <t xml:space="preserve">       รายงานการผลิตน้ำตาลทรายของโรงงานน้ำตาลทั่วประเทศ</t>
  </si>
  <si>
    <t>หน้าที่  1</t>
  </si>
  <si>
    <t>สำนักบริหารอ้อยและน้ำตาลทราย</t>
  </si>
  <si>
    <t xml:space="preserve"> * รายงานแยกตามประเภท (ภาค) * </t>
  </si>
  <si>
    <t>หน่วย/กระสอบ 100 กก.</t>
  </si>
  <si>
    <t xml:space="preserve"> ชื่อโรงงาน    </t>
  </si>
  <si>
    <t>เปิดหีบ</t>
  </si>
  <si>
    <t>ณ.วันนี้</t>
  </si>
  <si>
    <t>รวมวัน</t>
  </si>
  <si>
    <t xml:space="preserve">                               ปริมาณอ้อยเข้าหีบ</t>
  </si>
  <si>
    <t>รวมปริมาณอ้อย</t>
  </si>
  <si>
    <t>เฉลี่ย C.C.S</t>
  </si>
  <si>
    <t>น้ำตาลทรายขาว</t>
  </si>
  <si>
    <t>น้ำตาลทรายดิบ</t>
  </si>
  <si>
    <t>* ชนิดอื่นๆ</t>
  </si>
  <si>
    <t>น้ำตาล/ตันอ้อย</t>
  </si>
  <si>
    <t>ปริมาณการผลิต</t>
  </si>
  <si>
    <t>เฉลี่ย/ตันอ้อย</t>
  </si>
  <si>
    <t>หีบอ้อย</t>
  </si>
  <si>
    <t>เดินเครื่อง</t>
  </si>
  <si>
    <t>อ้อยสด(ตัน)</t>
  </si>
  <si>
    <t>อ้อยไฟไหม้(ตัน)</t>
  </si>
  <si>
    <t>(ตัน)</t>
  </si>
  <si>
    <t>ขาวธรรมดา(กส.)</t>
  </si>
  <si>
    <t>ขาวบริสุทธิ์(กส.)</t>
  </si>
  <si>
    <t>กากน้ำตาล(ตัน)</t>
  </si>
  <si>
    <t>ฉบับปิดหีบ</t>
  </si>
  <si>
    <t>1.ข้อมูล C.C.S.เฉลี่ยที่ได้เป็นข้อมูลเบื้องต้นตามหนังสือบันทึกยืนยันการปิดหีบอ้อยและจะทำการปรับปรุงอีกครั้งตามกลุ่มงานวิเคราะห์และประมวลผลคุณภาพอ้อย</t>
  </si>
  <si>
    <t>(*ปิดหีบ)</t>
  </si>
  <si>
    <t>133</t>
  </si>
  <si>
    <t>119</t>
  </si>
  <si>
    <t>160</t>
  </si>
  <si>
    <t>153</t>
  </si>
  <si>
    <t>105</t>
  </si>
  <si>
    <t>112</t>
  </si>
  <si>
    <t>113</t>
  </si>
  <si>
    <t>123</t>
  </si>
  <si>
    <t>135</t>
  </si>
  <si>
    <t>144</t>
  </si>
  <si>
    <t>124</t>
  </si>
  <si>
    <t>118</t>
  </si>
  <si>
    <t>166</t>
  </si>
  <si>
    <t>151</t>
  </si>
  <si>
    <t>150</t>
  </si>
  <si>
    <t>128</t>
  </si>
  <si>
    <t>131</t>
  </si>
  <si>
    <t>รวมนต.ตกค้าง</t>
  </si>
  <si>
    <t>ประจำปีการผลิต 2561/2562</t>
  </si>
  <si>
    <t>6/12/61</t>
  </si>
  <si>
    <t>17/4/62</t>
  </si>
  <si>
    <t>25/11/61</t>
  </si>
  <si>
    <t>14/4/62</t>
  </si>
  <si>
    <t>141</t>
  </si>
  <si>
    <t>20/11/61</t>
  </si>
  <si>
    <t>11/4/62</t>
  </si>
  <si>
    <t>143</t>
  </si>
  <si>
    <t>1/12/61</t>
  </si>
  <si>
    <t>12/4/62</t>
  </si>
  <si>
    <t>13/4/62</t>
  </si>
  <si>
    <t>134</t>
  </si>
  <si>
    <t>8/5/62</t>
  </si>
  <si>
    <t>7/12/61</t>
  </si>
  <si>
    <t>7/4/62</t>
  </si>
  <si>
    <t>122</t>
  </si>
  <si>
    <t>28/11/61</t>
  </si>
  <si>
    <t>4/4/62</t>
  </si>
  <si>
    <t>132</t>
  </si>
  <si>
    <t>26/11/61</t>
  </si>
  <si>
    <t>10/4/62</t>
  </si>
  <si>
    <t>3/4/62</t>
  </si>
  <si>
    <t>3/1/62</t>
  </si>
  <si>
    <t>18/4/62</t>
  </si>
  <si>
    <t>106</t>
  </si>
  <si>
    <t>14/12/61</t>
  </si>
  <si>
    <t>24/3/62</t>
  </si>
  <si>
    <t>101</t>
  </si>
  <si>
    <t>17/12/61</t>
  </si>
  <si>
    <t>27/3/62</t>
  </si>
  <si>
    <t>98</t>
  </si>
  <si>
    <t>25/3/62</t>
  </si>
  <si>
    <t>102</t>
  </si>
  <si>
    <t>29/3/62</t>
  </si>
  <si>
    <t>30/3/62</t>
  </si>
  <si>
    <t>104</t>
  </si>
  <si>
    <t>5/12/61</t>
  </si>
  <si>
    <t>28/3/62</t>
  </si>
  <si>
    <t>114</t>
  </si>
  <si>
    <t>12/12/61</t>
  </si>
  <si>
    <t>4/12/61</t>
  </si>
  <si>
    <t>8/12/61</t>
  </si>
  <si>
    <t>3/12/61</t>
  </si>
  <si>
    <t>13/12/61</t>
  </si>
  <si>
    <t>107</t>
  </si>
  <si>
    <t>2/4/62</t>
  </si>
  <si>
    <t>น้ำตาลและอ้อยตะวันออก(วังสมบูรณ์)</t>
  </si>
  <si>
    <t>31/12/61</t>
  </si>
  <si>
    <t>94</t>
  </si>
  <si>
    <t>159</t>
  </si>
  <si>
    <t>4/5/62</t>
  </si>
  <si>
    <t>3/5/62</t>
  </si>
  <si>
    <t>24/4/62</t>
  </si>
  <si>
    <t>156</t>
  </si>
  <si>
    <t>2/12/61</t>
  </si>
  <si>
    <t>1/5/62</t>
  </si>
  <si>
    <t>28/4/62</t>
  </si>
  <si>
    <t>129</t>
  </si>
  <si>
    <t>29/4/62</t>
  </si>
  <si>
    <t>136</t>
  </si>
  <si>
    <t>30/11/61</t>
  </si>
  <si>
    <t>8/4/62</t>
  </si>
  <si>
    <t>127</t>
  </si>
  <si>
    <t>117</t>
  </si>
  <si>
    <t>ไทยรุ่งเรือง(สกลนคร)</t>
  </si>
  <si>
    <t>20/12/61</t>
  </si>
  <si>
    <t>1</t>
  </si>
  <si>
    <t>(ใช้สัดส่วนของน้ำเชื่อม Ls ไปพลางก่อน)</t>
  </si>
  <si>
    <t>11.รง.มิตรกาฬสินธุ์ผลิต Natural Cane  Sugar จำนวน 173,511.000 กส. รวมไว้ในช่องอื่น ๆ</t>
  </si>
  <si>
    <t>12.รง.มิตรกาฬสินธุ์นำน้ำเชื่อมไปผลิตเอทานอลรวมถึงวันนี้จำนวน 19,302.556 ตัน คำนวณเป็นน้ำตาลดิบได้จำนวน 10,811.860 ตันรวมไว้ช่องดิบเทกองและกากน้ำตาล  3,450.122 ตัน(โดยประมาณการตามมติคณะทำงาน)</t>
  </si>
  <si>
    <t>13.รง.รวมเกษตรกร (ชย) ผลิต Caster sugar จำนวน 17,570.000 กส. รวมไว้ในช่องอื่น ๆ</t>
  </si>
  <si>
    <t>14.รง.รวมเกษตรกร (ขก) ผลิต Natural Cane  Sugar จำนวน 291,534.000 กส. และผลิตน้ำตาลทรายแดงจำนวน 41,880.000 กส.รวมไว้ในช่องอื่น ๆ</t>
  </si>
  <si>
    <t>15.รง.สิงห์บุรีผลิต Golden Soft Sugar จำนวน  510.720 กส.รวมไว้ในช่องอื่นๆ</t>
  </si>
  <si>
    <t>16.รง.บ้านไร่ผลิต Liquid Sugar จำนวน 20,737.2200 ตันแปลงค่าเป็นน้ำตาลทรายขาวบริสุทธิ์จำนวน 139,946.1466 กส. สัดส่วนน้ำเชื่อม:น้ำตาลขาวบริสุทธิ์เท่ากับ1.4818:1(ใช้สัดส่วนปี 60/61)รวมไว้ในช่องอื่น ๆ</t>
  </si>
  <si>
    <t>17.รง.บ้านไร่ผลิตน้ำตาล Icing Sugar จำนวน 2,843.500 กส. ,ผลิตกรวด 260.832 กส.และผลิตน้ำตาล Caster Sugar จำนวน 1,348.500 กส. รวมไว้ในช่องอื่น ๆ</t>
  </si>
  <si>
    <t>18.รง.ไทยรุ่งเรืองผลิต Liquid Sugar จำนวน 17,468.1810 ตันแปลงค่าเป็นน้ำตาลทรายขาวบริสุทธิ์จำนวน 117,956.5197 กส.สัดส่วนน้ำเชื่อม:น้ำตาลบริสุทธิ์เท่ากับ1.4809:1(ใช้สัดส่วนปี 60/61)รวมไว้ในช่องอื่นๆ</t>
  </si>
  <si>
    <t>19.รง.ไทยรุ่งเรืองผลิต Liquid Sucroseจำนวน 13,896.4270 ตันแปลงค่าเป็นน้ำตาลทรายขาวธรรมดาจำนวน 93,894.7770 กส.สัดส่วนน้ำเชื่อม:น้ำตาลขาวธรรมดาเท่ากับ1.4800:1(ใช้สัดส่วนปี 60/61)รวมไว้ในช่องอื่นๆ</t>
  </si>
  <si>
    <t>20.รง.ไทยรุ่งเรืองผลิต Caster Sugar จำนวน 6,441.000 กส. และผลิตน้ำตาลซูคราโลสจำนวน 373.000  กส.  รวมไว้ในช่องอื่นๆ</t>
  </si>
  <si>
    <t>21.รง.พิษณุโลกผลิต  Natural Gold Sugar จำนวน 4,407.000 กส. และผลิต Golden Granulated Sugar จำนวน 48.00 กส. รวมไว้ในช่องอื่นๆ</t>
  </si>
  <si>
    <t>22.รง.อ่างเวียนผลิต Demerara Sugar จำนวน 88,247.000 กส. และผลิต Organic Sugarจำนวน 93,180.500 กส.รวมไว้ในช่องอื่น ๆ</t>
  </si>
  <si>
    <t>23.รง.วังขนายผลิต Demerara Sugar จำนวน 2,914.000 กส. และผลิต Organic Sugarจำนวน 3,678.750 กส.รวมไว้ในช่องอื่น ๆ</t>
  </si>
  <si>
    <t>24.รง.ที.เอ็น.ผลิตน้ำตาลกรวดจำนวน 664.000 กส.,ผลิตCaramelจำนวน120.500 กส.,ผลิต Demerara Sugarจำนวน 33,861.500กส.,ผลิตทรายแดงจำนวน2,395.200 กส.และผลิต Organic Sugar จำนวน12,000.000 กส.รวมไว้ในช่องอื่นๆ</t>
  </si>
  <si>
    <t>25.รง.รีไฟน์ผลิตขาวบริสุทธิ์เสริมแคลเซียม จำนวน 50.000 กส.  และผลิตคาราเมลจำนวน 750.00 กส.รวมไว้ในช่องอื่นๆ</t>
  </si>
  <si>
    <t>26.รง.นครเพชรผลิต Natural  Sugar จำนวน 92,396.500 กส.รวมไว้ในช่องอื่น ๆ</t>
  </si>
  <si>
    <t>27.รง.ทิพย์สุโขทัยผลิต Natural Crystal Sugar จำนวน 22,563.000 กส. รวมไว้ในช่องอื่น ๆ</t>
  </si>
  <si>
    <t>28.รง.ราชบุรี ( กาญจนบุรี )ผลิต Natural  Can Sugar จำนวน 5,325.000 กส.รวมไว้ในช่องอื่น ๆ</t>
  </si>
  <si>
    <t>29.รง.ครบุรีผลิต Natural  Sugar จำนวน 54,480.000 กส.รวมไว้ในช่องอื่น ๆ</t>
  </si>
  <si>
    <t>30.รง.ขอนแก่น ผลิต Liquid Sucrose จำนวน 3,086.0400 ตันแปลงค่าเป็นน้ำตาลทรายขาวธรรมดาจำนวน 20,834.7286 กส. สัดส่วนน้ำเชื่อม:น้ำตาลขาวธรรมดาเท่ากับ 1.4812:1(ใช้สัดส่วนปี 60/61) รวมไว้ในช่องอื่นๆ</t>
  </si>
  <si>
    <t>31.รง.เกษตรไทยผลิต น้ำเชื่อมดิบ จำนวน 47.3500 ตันแปลงค่าเป็นน้ำตาลทรายขาวบริสุทธิ์จำนวน 320.4955 กส. สัดส่วนน้ำเชื่อม:น้ำตาลขาวบริสุทธิ์1.4774:1(ใช้สัดส่วนปี60/61)รวมไว้ในช่องอื่นๆ</t>
  </si>
  <si>
    <t>32.รง.ไทยรุ่งเรือง (สกลนคร) แจ้งหยุดหีบอ้อย ประจำปี 2561/2562 ในวันที่ 20 ธันวาคม 2561 เนื่องจากระบบสับจ่ายกระแสไฟฟ้าหลักขัดข้อง ทำให้โรงงานไม่สามารถทำการหีบอ้อยต่อไปได้</t>
  </si>
  <si>
    <t>ตามหนังสือ ขบอ.5/720/2561 ลงวันที่ 24 ธันวาคม 2561 และตามหนังสือที่ TRR SK 6112/019.2  ลงวันที่ 21 ธันวาคม 2561</t>
  </si>
  <si>
    <t>จบละลาย</t>
  </si>
  <si>
    <t>รวมนต.และกากนต.</t>
  </si>
  <si>
    <t>5.รง.มิตรผลผลิตน้ำเชื่อม  Sucrose จำนวน238.000 ตัน แปลงค่าเป็นน้ำตาลทรายขาวบริสุทธิ์จำนวน 1,599.8924 กส.สัดส่วนน้ำเชื่อม:น้ำตาลขาวบริสุทธิ์เท่ากับ 1.4876:1 ใช้สัดส่วนปี 60/61 รวมไว้ในช่องอื่น ๆ</t>
  </si>
  <si>
    <t>6.รง.มิตรผลผลิต Natural Golden Sugar จำนวน 125.6544 ตัน แปลงค่าเป็นน้ำตาลขาวบริสุทธิ์จำนวน 918.3249 กส. สัดส่วนน้ำเชื่อม:น้ำตาลขาวบริสุทธิ์เท่ากับ 1.3683:1ใช้สั่ดส่วนปี 60/61 รวมไว้ในช่องอื่น ๆ</t>
  </si>
  <si>
    <t>7.รง.มิตรผลผลิต Classic Flavouyed Sugar จำนวน 5.8018 ตัน แปลงค่าเป็นน้ำตาลทรายขาวบริสุทธิ์จำนวน 27.6645 กส. สัดส่วนน้ำเชื่อม:น้ำตาลขาวบริสุทธิ์เท่ากับ 2.0972:1 ใช้สัดส่วนปี 60/61 รวมไว้ในช่องอื่น ๆ</t>
  </si>
  <si>
    <t>9.รง.มิตรผลผลิต Fruit Flavoured Syrup จำนวน 4.6442 ตันแปลงค่าเป็นน้ำตาลทรายขาวบริสุทธิ์จำนวน  22.1448 กส. สัดส่วนน้ำเชื่อม:น้ำตาลขาวบริสุทธิ์เท่ากับ 2.0972:1 ใช้สัดส่วนปี 60/61 รวมไว้ในช่องอื่นๆ</t>
  </si>
  <si>
    <t>ต่อเนื่อง</t>
  </si>
  <si>
    <t>นต.ตกค้างจบ</t>
  </si>
  <si>
    <t>8.รง.มิตรผลผลิตCane sugar mixedwithCoconutจำนวน 507.5978 ตันแปลงค่าเป็นน้ำตาลทรายขาวบริสุทธิ์จำนวน 3,892.3227 กส. สัดส่วนน้ำเชื่อม:น้ำตาลบริสุทธิ์เท่ากับ 1.3041:1 ใช้สัดส่วนปี 60/61 รวมไว้ในช่องอื่นๆ</t>
  </si>
  <si>
    <t>3.รง.มิตรผลผลิตน้ำเชื่อม Mis จำนวน 20,848.3370 ตัน แปลงค่าเป็นน้ำตาลทรายขาวบริสุทธิ์จำนวน 155,329.5858 กส. สัดส่วนน้ำเชื่อม:น้ำตาลขาวบริสุทธิ์เท่ากับ 1.3422:1 ใช้สัดส่วนปี 60/61 รวมไว้ในช่องอื่น ๆ</t>
  </si>
  <si>
    <t>4.รง.มิตรผลผลิตน้ำเชื่อม Ls จำนวน 72,792.4250 ตัน แปลงค่าเป็นน้ำตาลทรายขาวบริสุทธิ์จำนวน 489,327.9443 กส. สัดส่วนน้ำเชื่อม:น้ำตาลขาวบริสุทธิ์เท่ากับ 1.4876:1 ใช้สัดส่วนปี 60/61 รวมไว้ในช่องอื่น ๆ</t>
  </si>
  <si>
    <t>25/4/62</t>
  </si>
  <si>
    <t>16/4/62</t>
  </si>
  <si>
    <t>2.โรงงานกุมภวาปีผลิต Hi-Test- Molasses จำนวน 196.000 ตันและแปลงค่าเป็นน้ำตาลทรายดิบได้จำนวน 1,160.450 กส.สัดส่วน Hi-Test Molasses : น้ำตาลทรายดิบเท่ากับ 1.6890  :1  รวมไว้ในช่องน้ำตาลดิบกระสอบ</t>
  </si>
  <si>
    <t>เมื่อแปลงค่าแล้วนำไปใส่ในช่องดิบกส.และอย่าลืมไปลบในช่องกากนต.</t>
  </si>
  <si>
    <t>10.รง.มิตรผลผลิตน้ำตาล Caramel จำนวน 68.400 กส. ,ผลิต Crystalline Sugar จำนวน 1,910.930 กส.,ผลิตIcing Sugar จำนวน 2,727.206 กส. และผลิตกรวดจำนวน 4,384.440 กส.รวมไว้ในช่องอื่น ๆ</t>
  </si>
  <si>
    <t>วันปิดหีบวันหีบอ้อยวันเดินเครื่องยึดตามบันทึกยืนยันฉบับปิดหีบ</t>
  </si>
  <si>
    <t xml:space="preserve">33.รง.ที่ทำการละลายน้ำตาลต่อเนื่องมีจำนวน 6  โรงงานได้แก่ รง.นครเพชร,รง.มิตรผล,รง.ปราณบุรี,รง.สหเรือง,รง.อุตฯอีสาน,และรง.สุรินทร์ได้รวมปริมาณน้ำตาลและกากน้ำตาลที่ตกค้างในกระบวนการผลิต  </t>
  </si>
  <si>
    <t xml:space="preserve">ไว้ในตารางนี้แล้วตามหนังสือที่ อก.0605/835 ลงวันที่ 14 พฤษภาคม 2562 </t>
  </si>
  <si>
    <t>34.รง.น้ำตาลที่ทำการละลายตัดกระบวนการมีจำนวน 30  โรงงานได้แก่ รง.ทิพย์สุโขทัย ,รง.ทิพย์กำแพงเพชร,รง.กำแพงเพชร,รง.พิษณุโลก,รง.มิตรเกษตรอุทัยธานี,รง.สิงห์บุรี,รง.เกษตรไทยอินเตอร์,รง.ไทยรุ่งเรือง</t>
  </si>
  <si>
    <t>รง.สระบุรี,รง.ไทยอุตฯเพชรบูรณ์,รง.ไทยเพิ่มพูน,รง.ไทยอุตสาหกรรม,รง.นิวกรุงไทย,รง.อุตฯบ้านไร่,รง.มิตรเกษตร,รง.บ้านโป่ง,รง.ราชบุรี,รง.น้ำตาลและอ้อยตะวันออก,รง.ระยอง,รง.มิตรกาฬสินธุ์,รง.เกษตรผล,รง.อุตฯโคราช</t>
  </si>
  <si>
    <t>รง.รวมเกษตรกร(ขก.),รง.ครบุรี,รง.กุมภวาปี,รง.ขอนแก่น,รง.บุรีรัมย์,รง.รวมเกษตรกร(ชย.),รง.เอราวัณและรง.ไทยอุดรธานี</t>
  </si>
  <si>
    <t>35.รง.ที่ทำการละลายจบแล้วมีจำนวน 8 โรงงานได้แก่ รง.รีไฟน์ชัยมงคล,รง.ประจวบอุตฯ,รง.บ้านโป่ง,รง.ไทยกาญจนบุรี,รง.รง.ไทยเพิ่มพูน,รง.ไทยอุตสาหกรรม,รง.รง.มิตรเกษตรและรง.ระยอง</t>
  </si>
  <si>
    <t>ยอดที่ได้จากการละลายได้รวมไว้ในตารางนี้แล้ว</t>
  </si>
  <si>
    <t>36.รง.เอราวัณปรับปรุงปริมาณกากน้ำตาลตามบันทึกยืนยันที่หนังสือที่ รง.47/65 ลงวันที่ 18 เมษายน 2562</t>
  </si>
  <si>
    <t>37.รง.ไทยกาญจนบุรีปรับปรุงน้ำตาลขาวบริสุทธิ์และกากน้ำตาลตามบันทึกยืนยันหนังสือที่ รง.23/84/2562 ลงวันที่ 21 พฤษภาคม 2562</t>
  </si>
  <si>
    <t>38.รง.อุตสาหกรรมน้ำตาลอีสานปรับปรุงกากน้ำตาลตามบันทึกยืนยันหนังสือที่รง.03/63/2562ลงวันที่ 16 พฤษภาคม 2562.</t>
  </si>
  <si>
    <t>39.รง.ทิพย์สุโขทัยขอแก้ไขอ้อยสดลดลง และเพิ่มอ้อยไฟไหม้ ตามหนังสือที่ รง.04/028/2562 ลงวันที่ 3 พฤษภาคม 2562</t>
  </si>
  <si>
    <t>40.ช่องปิดหีบหมายถึงวันที่อ้อยเข้าหีบวันสุดท้าย ช่องวันเดินเครื่องหมายถึงวันที่น้ำตาลตกหมดและรวมถึงวันที่หยุดละลายน้ำตาล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</si>
</sst>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"/>
    <numFmt numFmtId="188" formatCode="#,##0.000"/>
    <numFmt numFmtId="189" formatCode="#,###.00"/>
    <numFmt numFmtId="190" formatCode="#,###"/>
    <numFmt numFmtId="191" formatCode="#,##0.00_);\-#,##0.00"/>
    <numFmt numFmtId="192" formatCode="[$-41E]d\ mmmm\ yyyy"/>
    <numFmt numFmtId="193" formatCode="d/m/yy"/>
    <numFmt numFmtId="194" formatCode="_-* #,##0.000_-;\-* #,##0.000_-;_-* &quot;-&quot;??_-;_-@_-"/>
    <numFmt numFmtId="195" formatCode="_-* #,##0.000_-;\-* #,##0.000_-;_-* &quot;-&quot;???_-;_-@_-"/>
    <numFmt numFmtId="196" formatCode="0.00000"/>
    <numFmt numFmtId="197" formatCode="0.0000"/>
    <numFmt numFmtId="198" formatCode="0.000"/>
    <numFmt numFmtId="199" formatCode="0.00000000"/>
    <numFmt numFmtId="200" formatCode="0.0000000"/>
    <numFmt numFmtId="201" formatCode="0.000000"/>
    <numFmt numFmtId="202" formatCode="#,##0.0"/>
    <numFmt numFmtId="203" formatCode="0.0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sz val="14"/>
      <color indexed="8"/>
      <name val="AngsanaUPC"/>
      <family val="1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sz val="12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0"/>
    </font>
    <font>
      <sz val="11"/>
      <color indexed="17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u val="single"/>
      <sz val="10"/>
      <color indexed="12"/>
      <name val="ARIAL"/>
      <family val="0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b/>
      <sz val="18"/>
      <color indexed="61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33" borderId="0" xfId="0" applyFont="1" applyFill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88" fontId="3" fillId="0" borderId="13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 horizontal="center" vertical="top"/>
    </xf>
    <xf numFmtId="0" fontId="3" fillId="9" borderId="0" xfId="0" applyFont="1" applyFill="1" applyAlignment="1">
      <alignment vertical="top"/>
    </xf>
    <xf numFmtId="0" fontId="3" fillId="18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97" fontId="3" fillId="0" borderId="0" xfId="0" applyNumberFormat="1" applyFont="1" applyAlignment="1">
      <alignment vertical="top"/>
    </xf>
    <xf numFmtId="196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194" fontId="3" fillId="0" borderId="0" xfId="42" applyNumberFormat="1" applyFont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190" fontId="3" fillId="0" borderId="13" xfId="0" applyNumberFormat="1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188" fontId="3" fillId="0" borderId="11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188" fontId="3" fillId="0" borderId="15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198" fontId="3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 vertical="top"/>
    </xf>
    <xf numFmtId="0" fontId="2" fillId="19" borderId="0" xfId="0" applyFont="1" applyFill="1" applyAlignment="1">
      <alignment vertical="top"/>
    </xf>
    <xf numFmtId="0" fontId="3" fillId="19" borderId="0" xfId="0" applyFont="1" applyFill="1" applyAlignment="1">
      <alignment vertical="top"/>
    </xf>
    <xf numFmtId="43" fontId="3" fillId="0" borderId="0" xfId="42" applyFont="1" applyFill="1" applyBorder="1" applyAlignment="1" applyProtection="1">
      <alignment/>
      <protection/>
    </xf>
    <xf numFmtId="194" fontId="3" fillId="0" borderId="0" xfId="42" applyNumberFormat="1" applyFont="1" applyFill="1" applyBorder="1" applyAlignment="1" applyProtection="1">
      <alignment/>
      <protection/>
    </xf>
    <xf numFmtId="198" fontId="3" fillId="0" borderId="0" xfId="0" applyNumberFormat="1" applyFont="1" applyAlignment="1">
      <alignment vertical="top"/>
    </xf>
    <xf numFmtId="188" fontId="5" fillId="0" borderId="0" xfId="0" applyNumberFormat="1" applyFont="1" applyAlignment="1">
      <alignment vertical="top"/>
    </xf>
    <xf numFmtId="0" fontId="44" fillId="0" borderId="0" xfId="57" applyFont="1" applyAlignment="1">
      <alignment vertical="top"/>
      <protection/>
    </xf>
    <xf numFmtId="197" fontId="3" fillId="0" borderId="0" xfId="0" applyNumberFormat="1" applyFont="1" applyFill="1" applyAlignment="1">
      <alignment vertical="top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zoomScalePageLayoutView="0" workbookViewId="0" topLeftCell="A1">
      <selection activeCell="V56" sqref="V56"/>
    </sheetView>
  </sheetViews>
  <sheetFormatPr defaultColWidth="23.57421875" defaultRowHeight="18.75" customHeight="1"/>
  <cols>
    <col min="1" max="1" width="22.8515625" style="7" customWidth="1"/>
    <col min="2" max="2" width="8.28125" style="7" customWidth="1"/>
    <col min="3" max="3" width="8.140625" style="7" customWidth="1"/>
    <col min="4" max="4" width="6.421875" style="7" customWidth="1"/>
    <col min="5" max="5" width="7.00390625" style="7" customWidth="1"/>
    <col min="6" max="6" width="14.8515625" style="7" customWidth="1"/>
    <col min="7" max="8" width="14.421875" style="7" customWidth="1"/>
    <col min="9" max="9" width="7.421875" style="7" customWidth="1"/>
    <col min="10" max="10" width="13.7109375" style="7" customWidth="1"/>
    <col min="11" max="11" width="13.421875" style="7" customWidth="1"/>
    <col min="12" max="12" width="15.28125" style="7" customWidth="1"/>
    <col min="13" max="13" width="13.28125" style="7" customWidth="1"/>
    <col min="14" max="14" width="12.421875" style="7" customWidth="1"/>
    <col min="15" max="15" width="14.57421875" style="7" customWidth="1"/>
    <col min="16" max="16" width="13.00390625" style="7" customWidth="1"/>
    <col min="17" max="17" width="14.8515625" style="7" customWidth="1"/>
    <col min="18" max="18" width="8.57421875" style="7" customWidth="1"/>
    <col min="19" max="19" width="13.28125" style="7" customWidth="1"/>
    <col min="20" max="20" width="12.140625" style="7" customWidth="1"/>
    <col min="21" max="21" width="12.00390625" style="7" customWidth="1"/>
    <col min="22" max="22" width="15.140625" style="7" customWidth="1"/>
    <col min="23" max="16384" width="23.57421875" style="7" customWidth="1"/>
  </cols>
  <sheetData>
    <row r="1" spans="2:20" ht="18.75" customHeight="1">
      <c r="B1" s="8"/>
      <c r="C1" s="8"/>
      <c r="D1" s="8"/>
      <c r="E1" s="8"/>
      <c r="F1" s="24"/>
      <c r="I1" s="8"/>
      <c r="P1" s="20"/>
      <c r="R1" s="8"/>
      <c r="T1" s="8"/>
    </row>
    <row r="2" spans="2:20" ht="18.75" customHeight="1">
      <c r="B2" s="8"/>
      <c r="C2" s="8"/>
      <c r="D2" s="8"/>
      <c r="E2" s="8"/>
      <c r="F2" s="24"/>
      <c r="I2" s="8"/>
      <c r="P2" s="20"/>
      <c r="R2" s="8"/>
      <c r="T2" s="8"/>
    </row>
    <row r="3" spans="2:20" ht="18.75" customHeight="1">
      <c r="B3" s="10"/>
      <c r="C3" s="10"/>
      <c r="D3" s="10"/>
      <c r="E3" s="10"/>
      <c r="F3" s="54"/>
      <c r="G3" s="11"/>
      <c r="H3" s="11"/>
      <c r="I3" s="10"/>
      <c r="J3" s="12"/>
      <c r="K3" s="12" t="s">
        <v>67</v>
      </c>
      <c r="L3" s="11"/>
      <c r="M3" s="11"/>
      <c r="N3" s="11"/>
      <c r="O3" s="11"/>
      <c r="P3" s="11"/>
      <c r="Q3" s="11"/>
      <c r="R3" s="10"/>
      <c r="S3" s="11"/>
      <c r="T3" s="13" t="s">
        <v>68</v>
      </c>
    </row>
    <row r="4" spans="1:20" ht="18.75" customHeight="1">
      <c r="A4" s="14"/>
      <c r="B4" s="10"/>
      <c r="C4" s="10"/>
      <c r="D4" s="10"/>
      <c r="E4" s="10"/>
      <c r="F4" s="54"/>
      <c r="G4" s="49"/>
      <c r="H4" s="49"/>
      <c r="I4" s="10"/>
      <c r="J4" s="13"/>
      <c r="K4" s="12" t="s">
        <v>114</v>
      </c>
      <c r="L4" s="11"/>
      <c r="M4" s="11"/>
      <c r="N4" s="11"/>
      <c r="O4" s="53"/>
      <c r="P4" s="11"/>
      <c r="Q4" s="11"/>
      <c r="R4" s="10"/>
      <c r="S4" s="14" t="s">
        <v>69</v>
      </c>
      <c r="T4" s="10"/>
    </row>
    <row r="5" spans="1:20" ht="18.75" customHeight="1">
      <c r="A5" s="15" t="s">
        <v>70</v>
      </c>
      <c r="B5" s="10"/>
      <c r="C5" s="10"/>
      <c r="D5" s="10"/>
      <c r="E5" s="10"/>
      <c r="F5" s="11"/>
      <c r="G5" s="11"/>
      <c r="H5" s="11"/>
      <c r="I5" s="10"/>
      <c r="J5" s="13"/>
      <c r="K5" s="12" t="s">
        <v>93</v>
      </c>
      <c r="L5" s="11"/>
      <c r="M5" s="11"/>
      <c r="N5" s="11"/>
      <c r="O5" s="14"/>
      <c r="P5" s="11"/>
      <c r="Q5" s="11"/>
      <c r="R5" s="10"/>
      <c r="S5" s="14" t="s">
        <v>71</v>
      </c>
      <c r="T5" s="10"/>
    </row>
    <row r="6" spans="1:20" ht="18.75" customHeight="1">
      <c r="A6" s="1" t="s">
        <v>72</v>
      </c>
      <c r="B6" s="3" t="s">
        <v>73</v>
      </c>
      <c r="C6" s="39" t="s">
        <v>74</v>
      </c>
      <c r="D6" s="39" t="s">
        <v>75</v>
      </c>
      <c r="E6" s="39" t="s">
        <v>75</v>
      </c>
      <c r="F6" s="2" t="s">
        <v>76</v>
      </c>
      <c r="G6" s="40"/>
      <c r="H6" s="3" t="s">
        <v>77</v>
      </c>
      <c r="I6" s="3" t="s">
        <v>78</v>
      </c>
      <c r="J6" s="2" t="s">
        <v>79</v>
      </c>
      <c r="K6" s="41"/>
      <c r="L6" s="41"/>
      <c r="M6" s="2" t="s">
        <v>80</v>
      </c>
      <c r="N6" s="41"/>
      <c r="O6" s="41"/>
      <c r="P6" s="1" t="s">
        <v>81</v>
      </c>
      <c r="Q6" s="1" t="s">
        <v>65</v>
      </c>
      <c r="R6" s="39" t="s">
        <v>82</v>
      </c>
      <c r="S6" s="3" t="s">
        <v>83</v>
      </c>
      <c r="T6" s="3" t="s">
        <v>84</v>
      </c>
    </row>
    <row r="7" spans="1:20" ht="18.75" customHeight="1">
      <c r="A7" s="42"/>
      <c r="B7" s="6"/>
      <c r="C7" s="43" t="s">
        <v>95</v>
      </c>
      <c r="D7" s="43" t="s">
        <v>85</v>
      </c>
      <c r="E7" s="43" t="s">
        <v>86</v>
      </c>
      <c r="F7" s="4" t="s">
        <v>87</v>
      </c>
      <c r="G7" s="4" t="s">
        <v>88</v>
      </c>
      <c r="H7" s="5" t="s">
        <v>89</v>
      </c>
      <c r="I7" s="5" t="s">
        <v>0</v>
      </c>
      <c r="J7" s="4" t="s">
        <v>90</v>
      </c>
      <c r="K7" s="4" t="s">
        <v>91</v>
      </c>
      <c r="L7" s="4" t="s">
        <v>1</v>
      </c>
      <c r="M7" s="4" t="s">
        <v>2</v>
      </c>
      <c r="N7" s="4" t="s">
        <v>3</v>
      </c>
      <c r="O7" s="4" t="s">
        <v>4</v>
      </c>
      <c r="P7" s="6"/>
      <c r="Q7" s="6"/>
      <c r="R7" s="6" t="s">
        <v>5</v>
      </c>
      <c r="S7" s="5" t="s">
        <v>92</v>
      </c>
      <c r="T7" s="6" t="s">
        <v>5</v>
      </c>
    </row>
    <row r="8" spans="1:20" ht="18.75" customHeight="1">
      <c r="A8" s="44" t="s">
        <v>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  <c r="S8" s="25"/>
      <c r="T8" s="26"/>
    </row>
    <row r="9" spans="1:20" ht="18.75" customHeight="1">
      <c r="A9" s="45" t="s">
        <v>7</v>
      </c>
      <c r="B9" s="28" t="s">
        <v>115</v>
      </c>
      <c r="C9" s="28" t="s">
        <v>116</v>
      </c>
      <c r="D9" s="28" t="s">
        <v>96</v>
      </c>
      <c r="E9" s="29">
        <v>133</v>
      </c>
      <c r="F9" s="16">
        <v>1584557.18</v>
      </c>
      <c r="G9" s="16">
        <v>2213823.42</v>
      </c>
      <c r="H9" s="16">
        <f>F9+G9</f>
        <v>3798380.5999999996</v>
      </c>
      <c r="I9" s="30">
        <v>11.53</v>
      </c>
      <c r="J9" s="16">
        <v>242507.5</v>
      </c>
      <c r="K9" s="16">
        <v>188338.5</v>
      </c>
      <c r="L9" s="16">
        <f>J9+K9</f>
        <v>430846</v>
      </c>
      <c r="M9" s="16">
        <v>342620.75899999996</v>
      </c>
      <c r="N9" s="16">
        <v>0</v>
      </c>
      <c r="O9" s="16">
        <f>(M9*10)+N9</f>
        <v>3426207.59</v>
      </c>
      <c r="P9" s="16">
        <v>0</v>
      </c>
      <c r="Q9" s="16">
        <f>L9+O9+P9</f>
        <v>3857053.59</v>
      </c>
      <c r="R9" s="30">
        <f>Q9*100/H9</f>
        <v>101.54468433205457</v>
      </c>
      <c r="S9" s="16">
        <v>176789.25699999998</v>
      </c>
      <c r="T9" s="30">
        <f>S9*1000/H9</f>
        <v>46.543323488962635</v>
      </c>
    </row>
    <row r="10" spans="1:20" ht="18.75" customHeight="1">
      <c r="A10" s="45" t="s">
        <v>8</v>
      </c>
      <c r="B10" s="28" t="s">
        <v>117</v>
      </c>
      <c r="C10" s="28" t="s">
        <v>118</v>
      </c>
      <c r="D10" s="28" t="s">
        <v>119</v>
      </c>
      <c r="E10" s="29">
        <v>141</v>
      </c>
      <c r="F10" s="16">
        <v>1398773.11</v>
      </c>
      <c r="G10" s="16">
        <v>1062624.65</v>
      </c>
      <c r="H10" s="16">
        <f aca="true" t="shared" si="0" ref="H10:H18">F10+G10</f>
        <v>2461397.76</v>
      </c>
      <c r="I10" s="30">
        <v>12.13</v>
      </c>
      <c r="J10" s="16">
        <v>84207.5</v>
      </c>
      <c r="K10" s="16">
        <v>357086</v>
      </c>
      <c r="L10" s="16">
        <f aca="true" t="shared" si="1" ref="L10:L18">J10+K10</f>
        <v>441293.5</v>
      </c>
      <c r="M10" s="16">
        <v>227204.991</v>
      </c>
      <c r="N10" s="16">
        <v>2960</v>
      </c>
      <c r="O10" s="16">
        <f aca="true" t="shared" si="2" ref="O10:O18">(M10*10)+N10</f>
        <v>2275009.91</v>
      </c>
      <c r="P10" s="16">
        <v>22563</v>
      </c>
      <c r="Q10" s="16">
        <f aca="true" t="shared" si="3" ref="Q10:Q18">L10+O10+P10</f>
        <v>2738866.41</v>
      </c>
      <c r="R10" s="30">
        <f aca="true" t="shared" si="4" ref="R10:R18">Q10*100/H10</f>
        <v>111.27280825997015</v>
      </c>
      <c r="S10" s="16">
        <v>107009.2</v>
      </c>
      <c r="T10" s="30">
        <f aca="true" t="shared" si="5" ref="T10:T18">S10*1000/H10</f>
        <v>43.474972529429785</v>
      </c>
    </row>
    <row r="11" spans="1:20" ht="18.75" customHeight="1">
      <c r="A11" s="45" t="s">
        <v>9</v>
      </c>
      <c r="B11" s="28" t="s">
        <v>120</v>
      </c>
      <c r="C11" s="28" t="s">
        <v>121</v>
      </c>
      <c r="D11" s="28" t="s">
        <v>122</v>
      </c>
      <c r="E11" s="29">
        <v>143</v>
      </c>
      <c r="F11" s="16">
        <v>1718920.26</v>
      </c>
      <c r="G11" s="16">
        <v>617409.6</v>
      </c>
      <c r="H11" s="16">
        <f t="shared" si="0"/>
        <v>2336329.86</v>
      </c>
      <c r="I11" s="30">
        <v>12.04</v>
      </c>
      <c r="J11" s="16">
        <v>206058.5</v>
      </c>
      <c r="K11" s="16">
        <v>738763</v>
      </c>
      <c r="L11" s="16">
        <f t="shared" si="1"/>
        <v>944821.5</v>
      </c>
      <c r="M11" s="16">
        <v>155336.44</v>
      </c>
      <c r="N11" s="16">
        <v>0</v>
      </c>
      <c r="O11" s="16">
        <f t="shared" si="2"/>
        <v>1553364.4</v>
      </c>
      <c r="P11" s="16">
        <v>0</v>
      </c>
      <c r="Q11" s="16">
        <f t="shared" si="3"/>
        <v>2498185.9</v>
      </c>
      <c r="R11" s="30">
        <f t="shared" si="4"/>
        <v>106.92779058176315</v>
      </c>
      <c r="S11" s="16">
        <v>111726</v>
      </c>
      <c r="T11" s="30">
        <f t="shared" si="5"/>
        <v>47.82115826743746</v>
      </c>
    </row>
    <row r="12" spans="1:20" ht="18.75" customHeight="1">
      <c r="A12" s="45" t="s">
        <v>10</v>
      </c>
      <c r="B12" s="28" t="s">
        <v>123</v>
      </c>
      <c r="C12" s="28" t="s">
        <v>124</v>
      </c>
      <c r="D12" s="28" t="s">
        <v>96</v>
      </c>
      <c r="E12" s="29">
        <v>133</v>
      </c>
      <c r="F12" s="16">
        <v>366819.09</v>
      </c>
      <c r="G12" s="16">
        <v>1161044.21</v>
      </c>
      <c r="H12" s="16">
        <f t="shared" si="0"/>
        <v>1527863.3</v>
      </c>
      <c r="I12" s="30">
        <v>11.65</v>
      </c>
      <c r="J12" s="16">
        <v>64175.5</v>
      </c>
      <c r="K12" s="16">
        <v>0</v>
      </c>
      <c r="L12" s="16">
        <f t="shared" si="1"/>
        <v>64175.5</v>
      </c>
      <c r="M12" s="16">
        <v>141570.23</v>
      </c>
      <c r="N12" s="16">
        <v>0</v>
      </c>
      <c r="O12" s="16">
        <f t="shared" si="2"/>
        <v>1415702.3</v>
      </c>
      <c r="P12" s="16">
        <v>0</v>
      </c>
      <c r="Q12" s="16">
        <f t="shared" si="3"/>
        <v>1479877.8</v>
      </c>
      <c r="R12" s="30">
        <f t="shared" si="4"/>
        <v>96.8593067193904</v>
      </c>
      <c r="S12" s="16">
        <v>65068</v>
      </c>
      <c r="T12" s="30">
        <f t="shared" si="5"/>
        <v>42.58757966108617</v>
      </c>
    </row>
    <row r="13" spans="1:20" ht="18.75" customHeight="1">
      <c r="A13" s="45" t="s">
        <v>11</v>
      </c>
      <c r="B13" s="28" t="s">
        <v>123</v>
      </c>
      <c r="C13" s="28" t="s">
        <v>125</v>
      </c>
      <c r="D13" s="28" t="s">
        <v>126</v>
      </c>
      <c r="E13" s="29">
        <v>134</v>
      </c>
      <c r="F13" s="16">
        <v>961515.49</v>
      </c>
      <c r="G13" s="16">
        <v>1001244.12</v>
      </c>
      <c r="H13" s="16">
        <f t="shared" si="0"/>
        <v>1962759.6099999999</v>
      </c>
      <c r="I13" s="30">
        <v>11.5</v>
      </c>
      <c r="J13" s="16">
        <v>42810.5</v>
      </c>
      <c r="K13" s="16">
        <v>445494.5</v>
      </c>
      <c r="L13" s="16">
        <f t="shared" si="1"/>
        <v>488305</v>
      </c>
      <c r="M13" s="16">
        <v>145412.01</v>
      </c>
      <c r="N13" s="16">
        <v>0</v>
      </c>
      <c r="O13" s="16">
        <f t="shared" si="2"/>
        <v>1454120.1</v>
      </c>
      <c r="P13" s="16">
        <v>0</v>
      </c>
      <c r="Q13" s="16">
        <f t="shared" si="3"/>
        <v>1942425.1</v>
      </c>
      <c r="R13" s="30">
        <f t="shared" si="4"/>
        <v>98.96398367398645</v>
      </c>
      <c r="S13" s="16">
        <v>93252</v>
      </c>
      <c r="T13" s="30">
        <f t="shared" si="5"/>
        <v>47.51065771116006</v>
      </c>
    </row>
    <row r="14" spans="1:21" ht="18.75" customHeight="1">
      <c r="A14" s="45" t="s">
        <v>12</v>
      </c>
      <c r="B14" s="28" t="s">
        <v>117</v>
      </c>
      <c r="C14" s="28" t="s">
        <v>124</v>
      </c>
      <c r="D14" s="28">
        <v>139</v>
      </c>
      <c r="E14" s="29">
        <v>139</v>
      </c>
      <c r="F14" s="16">
        <v>1933414.99</v>
      </c>
      <c r="G14" s="16">
        <v>2806449.78</v>
      </c>
      <c r="H14" s="16">
        <f t="shared" si="0"/>
        <v>4739864.77</v>
      </c>
      <c r="I14" s="30">
        <v>11.56</v>
      </c>
      <c r="J14" s="16">
        <f>299529.5+13838.39</f>
        <v>313367.89</v>
      </c>
      <c r="K14" s="16">
        <f>32662+16913.58</f>
        <v>49575.58</v>
      </c>
      <c r="L14" s="16">
        <f t="shared" si="1"/>
        <v>362943.47000000003</v>
      </c>
      <c r="M14" s="16">
        <v>441641.35</v>
      </c>
      <c r="N14" s="16">
        <v>10785</v>
      </c>
      <c r="O14" s="16">
        <f t="shared" si="2"/>
        <v>4427198.5</v>
      </c>
      <c r="P14" s="16">
        <v>92396.5</v>
      </c>
      <c r="Q14" s="16">
        <f t="shared" si="3"/>
        <v>4882538.47</v>
      </c>
      <c r="R14" s="30">
        <f t="shared" si="4"/>
        <v>103.01007954705848</v>
      </c>
      <c r="S14" s="16">
        <f>186083.32+2741.474</f>
        <v>188824.794</v>
      </c>
      <c r="T14" s="30">
        <f t="shared" si="5"/>
        <v>39.83759097836034</v>
      </c>
      <c r="U14" s="9" t="s">
        <v>113</v>
      </c>
    </row>
    <row r="15" spans="1:20" ht="18.75" customHeight="1">
      <c r="A15" s="45" t="s">
        <v>13</v>
      </c>
      <c r="B15" s="28" t="s">
        <v>128</v>
      </c>
      <c r="C15" s="28" t="s">
        <v>129</v>
      </c>
      <c r="D15" s="28" t="s">
        <v>130</v>
      </c>
      <c r="E15" s="29">
        <v>122</v>
      </c>
      <c r="F15" s="16">
        <v>2198110.41</v>
      </c>
      <c r="G15" s="16">
        <v>3389955.69</v>
      </c>
      <c r="H15" s="16">
        <f t="shared" si="0"/>
        <v>5588066.1</v>
      </c>
      <c r="I15" s="30">
        <v>12.03</v>
      </c>
      <c r="J15" s="16">
        <v>380450</v>
      </c>
      <c r="K15" s="16">
        <v>1319746</v>
      </c>
      <c r="L15" s="16">
        <f t="shared" si="1"/>
        <v>1700196</v>
      </c>
      <c r="M15" s="16">
        <v>418736.239</v>
      </c>
      <c r="N15" s="16">
        <v>0</v>
      </c>
      <c r="O15" s="16">
        <f t="shared" si="2"/>
        <v>4187362.39</v>
      </c>
      <c r="P15" s="16">
        <v>320.495</v>
      </c>
      <c r="Q15" s="16">
        <f t="shared" si="3"/>
        <v>5887878.885000001</v>
      </c>
      <c r="R15" s="30">
        <f t="shared" si="4"/>
        <v>105.36523333179616</v>
      </c>
      <c r="S15" s="16">
        <v>265010.9243</v>
      </c>
      <c r="T15" s="30">
        <f t="shared" si="5"/>
        <v>47.4244433686996</v>
      </c>
    </row>
    <row r="16" spans="1:20" ht="18.75" customHeight="1">
      <c r="A16" s="45" t="s">
        <v>14</v>
      </c>
      <c r="B16" s="28" t="s">
        <v>131</v>
      </c>
      <c r="C16" s="28" t="s">
        <v>132</v>
      </c>
      <c r="D16" s="28" t="s">
        <v>111</v>
      </c>
      <c r="E16" s="29">
        <v>128</v>
      </c>
      <c r="F16" s="16">
        <v>1740034.67</v>
      </c>
      <c r="G16" s="16">
        <v>3639983.91</v>
      </c>
      <c r="H16" s="16">
        <f t="shared" si="0"/>
        <v>5380018.58</v>
      </c>
      <c r="I16" s="30">
        <v>12.73</v>
      </c>
      <c r="J16" s="16">
        <v>130089</v>
      </c>
      <c r="K16" s="16">
        <v>756520</v>
      </c>
      <c r="L16" s="16">
        <f t="shared" si="1"/>
        <v>886609</v>
      </c>
      <c r="M16" s="16">
        <v>505348.5</v>
      </c>
      <c r="N16" s="16">
        <v>0</v>
      </c>
      <c r="O16" s="16">
        <f t="shared" si="2"/>
        <v>5053485</v>
      </c>
      <c r="P16" s="16">
        <v>218665.29690000002</v>
      </c>
      <c r="Q16" s="16">
        <f t="shared" si="3"/>
        <v>6158759.2969</v>
      </c>
      <c r="R16" s="30">
        <f t="shared" si="4"/>
        <v>114.4746845260895</v>
      </c>
      <c r="S16" s="16">
        <v>235486.94</v>
      </c>
      <c r="T16" s="30">
        <f t="shared" si="5"/>
        <v>43.77065552810786</v>
      </c>
    </row>
    <row r="17" spans="1:20" ht="18.75" customHeight="1">
      <c r="A17" s="45" t="s">
        <v>15</v>
      </c>
      <c r="B17" s="28" t="s">
        <v>123</v>
      </c>
      <c r="C17" s="28" t="s">
        <v>121</v>
      </c>
      <c r="D17" s="28" t="s">
        <v>133</v>
      </c>
      <c r="E17" s="29">
        <v>132</v>
      </c>
      <c r="F17" s="16">
        <v>1210821.62</v>
      </c>
      <c r="G17" s="16">
        <v>2226525.27</v>
      </c>
      <c r="H17" s="16">
        <f t="shared" si="0"/>
        <v>3437346.89</v>
      </c>
      <c r="I17" s="30">
        <v>12.16</v>
      </c>
      <c r="J17" s="16">
        <v>86922</v>
      </c>
      <c r="K17" s="16">
        <v>267957</v>
      </c>
      <c r="L17" s="16">
        <f t="shared" si="1"/>
        <v>354879</v>
      </c>
      <c r="M17" s="16">
        <v>338521.23</v>
      </c>
      <c r="N17" s="16">
        <v>0</v>
      </c>
      <c r="O17" s="16">
        <f t="shared" si="2"/>
        <v>3385212.3</v>
      </c>
      <c r="P17" s="16">
        <v>4455</v>
      </c>
      <c r="Q17" s="16">
        <f t="shared" si="3"/>
        <v>3744546.3</v>
      </c>
      <c r="R17" s="30">
        <f t="shared" si="4"/>
        <v>108.9371081776387</v>
      </c>
      <c r="S17" s="16">
        <v>161732</v>
      </c>
      <c r="T17" s="30">
        <f t="shared" si="5"/>
        <v>47.05140481180821</v>
      </c>
    </row>
    <row r="18" spans="1:20" ht="18.75" customHeight="1">
      <c r="A18" s="45" t="s">
        <v>16</v>
      </c>
      <c r="B18" s="28" t="s">
        <v>134</v>
      </c>
      <c r="C18" s="28" t="s">
        <v>129</v>
      </c>
      <c r="D18" s="28" t="s">
        <v>96</v>
      </c>
      <c r="E18" s="29">
        <v>133</v>
      </c>
      <c r="F18" s="16">
        <v>831206.83</v>
      </c>
      <c r="G18" s="16">
        <v>1043527.13</v>
      </c>
      <c r="H18" s="16">
        <f t="shared" si="0"/>
        <v>1874733.96</v>
      </c>
      <c r="I18" s="30">
        <v>12.44</v>
      </c>
      <c r="J18" s="16">
        <v>0</v>
      </c>
      <c r="K18" s="16">
        <v>0</v>
      </c>
      <c r="L18" s="16">
        <f t="shared" si="1"/>
        <v>0</v>
      </c>
      <c r="M18" s="16">
        <v>215563.02</v>
      </c>
      <c r="N18" s="16">
        <v>0</v>
      </c>
      <c r="O18" s="16">
        <f t="shared" si="2"/>
        <v>2155630.1999999997</v>
      </c>
      <c r="P18" s="16">
        <v>0</v>
      </c>
      <c r="Q18" s="16">
        <f t="shared" si="3"/>
        <v>2155630.1999999997</v>
      </c>
      <c r="R18" s="30">
        <f t="shared" si="4"/>
        <v>114.98325874461675</v>
      </c>
      <c r="S18" s="16">
        <v>75913</v>
      </c>
      <c r="T18" s="30">
        <f t="shared" si="5"/>
        <v>40.492678758537025</v>
      </c>
    </row>
    <row r="19" spans="1:20" ht="18.75" customHeight="1">
      <c r="A19" s="46" t="s">
        <v>17</v>
      </c>
      <c r="B19" s="31"/>
      <c r="C19" s="31"/>
      <c r="D19" s="31"/>
      <c r="E19" s="32"/>
      <c r="F19" s="33">
        <f>SUM(F9:F18)</f>
        <v>13944173.65</v>
      </c>
      <c r="G19" s="33">
        <f>SUM(G9:G18)</f>
        <v>19162587.779999997</v>
      </c>
      <c r="H19" s="33">
        <f>SUM(H9:H18)</f>
        <v>33106761.43</v>
      </c>
      <c r="I19" s="17">
        <f>((H9*I9)+(H10*I10)+(H11*I11)+(H12*I12)+(H13*I13)+(H14*I14)+(H15*I15)+(H16*I16)+(H17*I17)+(H18*I18))/H19</f>
        <v>12.014995050320753</v>
      </c>
      <c r="J19" s="33">
        <f>SUM(J9:J18)</f>
        <v>1550588.3900000001</v>
      </c>
      <c r="K19" s="33">
        <f>SUM(K9:K18)</f>
        <v>4123480.58</v>
      </c>
      <c r="L19" s="33">
        <f>SUM(L9:L18)</f>
        <v>5674068.970000001</v>
      </c>
      <c r="M19" s="33">
        <f>SUM(M9:M18)</f>
        <v>2931954.769</v>
      </c>
      <c r="N19" s="33">
        <f>SUM(N9:N18)</f>
        <v>13745</v>
      </c>
      <c r="O19" s="33">
        <f>(M19*10)+N19</f>
        <v>29333292.689999998</v>
      </c>
      <c r="P19" s="33">
        <f>SUM(P9:P18)</f>
        <v>338400.2919</v>
      </c>
      <c r="Q19" s="33">
        <f>SUM(Q9:Q18)</f>
        <v>35345761.951900005</v>
      </c>
      <c r="R19" s="17">
        <f>Q19*100/H19</f>
        <v>106.7629705389157</v>
      </c>
      <c r="S19" s="33">
        <f>SUM(S9:S18)</f>
        <v>1480812.1153</v>
      </c>
      <c r="T19" s="17">
        <f>S19*1000/H19</f>
        <v>44.72838934822988</v>
      </c>
    </row>
    <row r="20" spans="1:20" ht="18.75" customHeight="1">
      <c r="A20" s="44" t="s">
        <v>18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8.75" customHeight="1">
      <c r="A21" s="45" t="s">
        <v>19</v>
      </c>
      <c r="B21" s="28" t="s">
        <v>123</v>
      </c>
      <c r="C21" s="28" t="s">
        <v>135</v>
      </c>
      <c r="D21" s="28" t="s">
        <v>112</v>
      </c>
      <c r="E21" s="29">
        <v>131</v>
      </c>
      <c r="F21" s="16">
        <v>680210.74</v>
      </c>
      <c r="G21" s="16">
        <v>975417.54</v>
      </c>
      <c r="H21" s="16">
        <f>F21+G21</f>
        <v>1655628.28</v>
      </c>
      <c r="I21" s="30">
        <v>11.72</v>
      </c>
      <c r="J21" s="16">
        <v>137556</v>
      </c>
      <c r="K21" s="16">
        <v>400456</v>
      </c>
      <c r="L21" s="16">
        <f>J21+K21</f>
        <v>538012</v>
      </c>
      <c r="M21" s="16">
        <v>116269.33</v>
      </c>
      <c r="N21" s="16">
        <v>0</v>
      </c>
      <c r="O21" s="16">
        <f>(M21*10)+N21</f>
        <v>1162693.3</v>
      </c>
      <c r="P21" s="16">
        <v>510.72</v>
      </c>
      <c r="Q21" s="16">
        <f>L21+O21+P21</f>
        <v>1701216.02</v>
      </c>
      <c r="R21" s="30">
        <f aca="true" t="shared" si="6" ref="R21:R71">Q21*100/H21</f>
        <v>102.75350092473656</v>
      </c>
      <c r="S21" s="16">
        <v>75451.12</v>
      </c>
      <c r="T21" s="30">
        <f>S21*1000/H21</f>
        <v>45.572500126658866</v>
      </c>
    </row>
    <row r="22" spans="1:20" ht="18.75" customHeight="1">
      <c r="A22" s="45" t="s">
        <v>20</v>
      </c>
      <c r="B22" s="28" t="s">
        <v>123</v>
      </c>
      <c r="C22" s="28" t="s">
        <v>136</v>
      </c>
      <c r="D22" s="28" t="s">
        <v>106</v>
      </c>
      <c r="E22" s="29">
        <v>124</v>
      </c>
      <c r="F22" s="16">
        <v>93534.89</v>
      </c>
      <c r="G22" s="16">
        <v>391994.49</v>
      </c>
      <c r="H22" s="16">
        <f aca="true" t="shared" si="7" ref="H22:H40">F22+G22</f>
        <v>485529.38</v>
      </c>
      <c r="I22" s="30">
        <v>11.27</v>
      </c>
      <c r="J22" s="16">
        <v>0</v>
      </c>
      <c r="K22" s="16">
        <v>0</v>
      </c>
      <c r="L22" s="16">
        <f aca="true" t="shared" si="8" ref="L22:L40">J22+K22</f>
        <v>0</v>
      </c>
      <c r="M22" s="16">
        <v>49689.5</v>
      </c>
      <c r="N22" s="16">
        <v>0</v>
      </c>
      <c r="O22" s="16">
        <f aca="true" t="shared" si="9" ref="O22:O40">(M22*10)+N22</f>
        <v>496895</v>
      </c>
      <c r="P22" s="16">
        <v>0</v>
      </c>
      <c r="Q22" s="16">
        <f aca="true" t="shared" si="10" ref="Q22:Q40">L22+O22+P22</f>
        <v>496895</v>
      </c>
      <c r="R22" s="30">
        <f t="shared" si="6"/>
        <v>102.34087173056345</v>
      </c>
      <c r="S22" s="16">
        <v>23685.13</v>
      </c>
      <c r="T22" s="30">
        <f aca="true" t="shared" si="11" ref="T22:T71">S22*1000/H22</f>
        <v>48.78207370272835</v>
      </c>
    </row>
    <row r="23" spans="1:22" ht="18.75" customHeight="1">
      <c r="A23" s="45" t="s">
        <v>21</v>
      </c>
      <c r="B23" s="28" t="s">
        <v>137</v>
      </c>
      <c r="C23" s="28" t="s">
        <v>138</v>
      </c>
      <c r="D23" s="28" t="s">
        <v>139</v>
      </c>
      <c r="E23" s="29">
        <v>106</v>
      </c>
      <c r="F23" s="16">
        <v>212514.04</v>
      </c>
      <c r="G23" s="16">
        <v>566416.46</v>
      </c>
      <c r="H23" s="16">
        <f t="shared" si="7"/>
        <v>778930.5</v>
      </c>
      <c r="I23" s="30">
        <v>11.25</v>
      </c>
      <c r="J23" s="16">
        <v>340986</v>
      </c>
      <c r="K23" s="16">
        <v>10000</v>
      </c>
      <c r="L23" s="16">
        <f t="shared" si="8"/>
        <v>350986</v>
      </c>
      <c r="M23" s="16">
        <v>39390.14</v>
      </c>
      <c r="N23" s="16">
        <v>0</v>
      </c>
      <c r="O23" s="16">
        <f t="shared" si="9"/>
        <v>393901.4</v>
      </c>
      <c r="P23" s="16">
        <v>800</v>
      </c>
      <c r="Q23" s="16">
        <f t="shared" si="10"/>
        <v>745687.4</v>
      </c>
      <c r="R23" s="30">
        <f t="shared" si="6"/>
        <v>95.7322123090571</v>
      </c>
      <c r="S23" s="16">
        <v>42669</v>
      </c>
      <c r="T23" s="30">
        <f t="shared" si="11"/>
        <v>54.77895653078163</v>
      </c>
      <c r="U23" s="18" t="s">
        <v>212</v>
      </c>
      <c r="V23" s="18" t="s">
        <v>213</v>
      </c>
    </row>
    <row r="24" spans="1:22" ht="18.75" customHeight="1">
      <c r="A24" s="45" t="s">
        <v>22</v>
      </c>
      <c r="B24" s="28" t="s">
        <v>140</v>
      </c>
      <c r="C24" s="28" t="s">
        <v>141</v>
      </c>
      <c r="D24" s="28" t="s">
        <v>142</v>
      </c>
      <c r="E24" s="29">
        <v>128</v>
      </c>
      <c r="F24" s="16">
        <v>421711.16</v>
      </c>
      <c r="G24" s="16">
        <v>696728.94</v>
      </c>
      <c r="H24" s="16">
        <f t="shared" si="7"/>
        <v>1118440.0999999999</v>
      </c>
      <c r="I24" s="30">
        <v>11.37</v>
      </c>
      <c r="J24" s="16">
        <v>0</v>
      </c>
      <c r="K24" s="16">
        <f>479229+141422</f>
        <v>620651</v>
      </c>
      <c r="L24" s="16">
        <f t="shared" si="8"/>
        <v>620651</v>
      </c>
      <c r="M24" s="16">
        <f>65595.1-14817.53</f>
        <v>50777.57000000001</v>
      </c>
      <c r="N24" s="16">
        <v>0</v>
      </c>
      <c r="O24" s="16">
        <f t="shared" si="9"/>
        <v>507775.70000000007</v>
      </c>
      <c r="P24" s="16">
        <v>0</v>
      </c>
      <c r="Q24" s="16">
        <f t="shared" si="10"/>
        <v>1128426.7000000002</v>
      </c>
      <c r="R24" s="30">
        <f t="shared" si="6"/>
        <v>100.89290432272594</v>
      </c>
      <c r="S24" s="16">
        <v>45669</v>
      </c>
      <c r="T24" s="30">
        <f t="shared" si="11"/>
        <v>40.832763417549145</v>
      </c>
      <c r="U24" s="19" t="s">
        <v>206</v>
      </c>
      <c r="V24" s="19" t="s">
        <v>207</v>
      </c>
    </row>
    <row r="25" spans="1:21" ht="18.75" customHeight="1">
      <c r="A25" s="45" t="s">
        <v>23</v>
      </c>
      <c r="B25" s="28" t="s">
        <v>143</v>
      </c>
      <c r="C25" s="28" t="s">
        <v>144</v>
      </c>
      <c r="D25" s="28" t="s">
        <v>142</v>
      </c>
      <c r="E25" s="29">
        <v>136</v>
      </c>
      <c r="F25" s="16">
        <v>294043.37</v>
      </c>
      <c r="G25" s="16">
        <v>671914.19</v>
      </c>
      <c r="H25" s="16">
        <f t="shared" si="7"/>
        <v>965957.5599999999</v>
      </c>
      <c r="I25" s="30">
        <v>11.2</v>
      </c>
      <c r="J25" s="16">
        <f>194297+64506</f>
        <v>258803</v>
      </c>
      <c r="K25" s="16">
        <f>223603+129953</f>
        <v>353556</v>
      </c>
      <c r="L25" s="16">
        <f t="shared" si="8"/>
        <v>612359</v>
      </c>
      <c r="M25" s="16">
        <f>49694.9-20112.9</f>
        <v>29582</v>
      </c>
      <c r="N25" s="16">
        <v>0</v>
      </c>
      <c r="O25" s="16">
        <f t="shared" si="9"/>
        <v>295820</v>
      </c>
      <c r="P25" s="16">
        <v>0</v>
      </c>
      <c r="Q25" s="16">
        <f t="shared" si="10"/>
        <v>908179</v>
      </c>
      <c r="R25" s="30">
        <f t="shared" si="6"/>
        <v>94.01851981985628</v>
      </c>
      <c r="S25" s="16">
        <f>42830+815</f>
        <v>43645</v>
      </c>
      <c r="T25" s="30">
        <f t="shared" si="11"/>
        <v>45.18314448514695</v>
      </c>
      <c r="U25" s="19" t="s">
        <v>206</v>
      </c>
    </row>
    <row r="26" spans="1:22" ht="18.75" customHeight="1">
      <c r="A26" s="45" t="s">
        <v>24</v>
      </c>
      <c r="B26" s="28" t="s">
        <v>143</v>
      </c>
      <c r="C26" s="28" t="s">
        <v>129</v>
      </c>
      <c r="D26" s="28" t="s">
        <v>101</v>
      </c>
      <c r="E26" s="29">
        <v>112</v>
      </c>
      <c r="F26" s="16">
        <v>296004.9</v>
      </c>
      <c r="G26" s="16">
        <v>619447.45</v>
      </c>
      <c r="H26" s="16">
        <f t="shared" si="7"/>
        <v>915452.35</v>
      </c>
      <c r="I26" s="30">
        <v>11.09</v>
      </c>
      <c r="J26" s="16">
        <v>149463.5</v>
      </c>
      <c r="K26" s="16">
        <v>510710</v>
      </c>
      <c r="L26" s="16">
        <f t="shared" si="8"/>
        <v>660173.5</v>
      </c>
      <c r="M26" s="16">
        <v>20915.71</v>
      </c>
      <c r="N26" s="16">
        <v>0</v>
      </c>
      <c r="O26" s="16">
        <f t="shared" si="9"/>
        <v>209157.09999999998</v>
      </c>
      <c r="P26" s="16">
        <v>0</v>
      </c>
      <c r="Q26" s="16">
        <f t="shared" si="10"/>
        <v>869330.6</v>
      </c>
      <c r="R26" s="30">
        <f t="shared" si="6"/>
        <v>94.96186229681972</v>
      </c>
      <c r="S26" s="16">
        <v>40391</v>
      </c>
      <c r="T26" s="30">
        <f t="shared" si="11"/>
        <v>44.121357053701374</v>
      </c>
      <c r="U26" s="18" t="s">
        <v>212</v>
      </c>
      <c r="V26" s="18" t="s">
        <v>213</v>
      </c>
    </row>
    <row r="27" spans="1:20" ht="18.75" customHeight="1">
      <c r="A27" s="45" t="s">
        <v>25</v>
      </c>
      <c r="B27" s="28" t="s">
        <v>143</v>
      </c>
      <c r="C27" s="28" t="s">
        <v>141</v>
      </c>
      <c r="D27" s="28" t="s">
        <v>145</v>
      </c>
      <c r="E27" s="29">
        <v>98</v>
      </c>
      <c r="F27" s="16">
        <v>508935.45</v>
      </c>
      <c r="G27" s="16">
        <v>969702.51</v>
      </c>
      <c r="H27" s="16">
        <f t="shared" si="7"/>
        <v>1478637.96</v>
      </c>
      <c r="I27" s="30">
        <v>11.17</v>
      </c>
      <c r="J27" s="16">
        <v>261968.5</v>
      </c>
      <c r="K27" s="16">
        <v>474887.5</v>
      </c>
      <c r="L27" s="16">
        <f t="shared" si="8"/>
        <v>736856</v>
      </c>
      <c r="M27" s="16">
        <v>72412.05</v>
      </c>
      <c r="N27" s="16">
        <v>0</v>
      </c>
      <c r="O27" s="16">
        <f t="shared" si="9"/>
        <v>724120.5</v>
      </c>
      <c r="P27" s="16">
        <v>0</v>
      </c>
      <c r="Q27" s="16">
        <f t="shared" si="10"/>
        <v>1460976.5</v>
      </c>
      <c r="R27" s="30">
        <f t="shared" si="6"/>
        <v>98.80555886716178</v>
      </c>
      <c r="S27" s="16">
        <v>67286.181</v>
      </c>
      <c r="T27" s="30">
        <f t="shared" si="11"/>
        <v>45.50551441273698</v>
      </c>
    </row>
    <row r="28" spans="1:20" ht="18.75" customHeight="1">
      <c r="A28" s="45" t="s">
        <v>26</v>
      </c>
      <c r="B28" s="28" t="s">
        <v>140</v>
      </c>
      <c r="C28" s="28" t="s">
        <v>146</v>
      </c>
      <c r="D28" s="28" t="s">
        <v>147</v>
      </c>
      <c r="E28" s="29">
        <v>102</v>
      </c>
      <c r="F28" s="16">
        <v>749980.61</v>
      </c>
      <c r="G28" s="16">
        <v>1551960.63</v>
      </c>
      <c r="H28" s="16">
        <f t="shared" si="7"/>
        <v>2301941.2399999998</v>
      </c>
      <c r="I28" s="30">
        <v>11.48</v>
      </c>
      <c r="J28" s="16">
        <v>236399</v>
      </c>
      <c r="K28" s="16">
        <v>675096.5</v>
      </c>
      <c r="L28" s="16">
        <f t="shared" si="8"/>
        <v>911495.5</v>
      </c>
      <c r="M28" s="16">
        <v>151371.41</v>
      </c>
      <c r="N28" s="16">
        <v>0</v>
      </c>
      <c r="O28" s="16">
        <f t="shared" si="9"/>
        <v>1513714.1</v>
      </c>
      <c r="P28" s="16">
        <v>0</v>
      </c>
      <c r="Q28" s="16">
        <f t="shared" si="10"/>
        <v>2425209.6</v>
      </c>
      <c r="R28" s="30">
        <f t="shared" si="6"/>
        <v>105.35497422167042</v>
      </c>
      <c r="S28" s="16">
        <v>102625.299</v>
      </c>
      <c r="T28" s="30">
        <f t="shared" si="11"/>
        <v>44.58206717735332</v>
      </c>
    </row>
    <row r="29" spans="1:20" ht="18.75" customHeight="1">
      <c r="A29" s="45" t="s">
        <v>27</v>
      </c>
      <c r="B29" s="28" t="s">
        <v>123</v>
      </c>
      <c r="C29" s="28" t="s">
        <v>148</v>
      </c>
      <c r="D29" s="28" t="s">
        <v>97</v>
      </c>
      <c r="E29" s="29">
        <v>119</v>
      </c>
      <c r="F29" s="16">
        <v>871634.48</v>
      </c>
      <c r="G29" s="16">
        <v>2921753.26</v>
      </c>
      <c r="H29" s="16">
        <f t="shared" si="7"/>
        <v>3793387.7399999998</v>
      </c>
      <c r="I29" s="30">
        <v>11.69</v>
      </c>
      <c r="J29" s="16">
        <v>84968.5</v>
      </c>
      <c r="K29" s="16">
        <v>800674.5</v>
      </c>
      <c r="L29" s="16">
        <f t="shared" si="8"/>
        <v>885643</v>
      </c>
      <c r="M29" s="16">
        <v>282894.15</v>
      </c>
      <c r="N29" s="16">
        <v>0</v>
      </c>
      <c r="O29" s="16">
        <f t="shared" si="9"/>
        <v>2828941.5</v>
      </c>
      <c r="P29" s="16">
        <v>144398.9779</v>
      </c>
      <c r="Q29" s="16">
        <f t="shared" si="10"/>
        <v>3858983.4779</v>
      </c>
      <c r="R29" s="30">
        <f t="shared" si="6"/>
        <v>101.72921257714614</v>
      </c>
      <c r="S29" s="16">
        <v>167130.93</v>
      </c>
      <c r="T29" s="30">
        <f t="shared" si="11"/>
        <v>44.05848846867418</v>
      </c>
    </row>
    <row r="30" spans="1:22" ht="18.75" customHeight="1">
      <c r="A30" s="45" t="s">
        <v>28</v>
      </c>
      <c r="B30" s="28" t="s">
        <v>143</v>
      </c>
      <c r="C30" s="28" t="s">
        <v>166</v>
      </c>
      <c r="D30" s="28">
        <v>138</v>
      </c>
      <c r="E30" s="29">
        <v>138</v>
      </c>
      <c r="F30" s="16">
        <v>594860.72</v>
      </c>
      <c r="G30" s="16">
        <v>507453.14</v>
      </c>
      <c r="H30" s="16">
        <f t="shared" si="7"/>
        <v>1102313.8599999999</v>
      </c>
      <c r="I30" s="30">
        <v>11.23</v>
      </c>
      <c r="J30" s="16">
        <v>210491.5</v>
      </c>
      <c r="K30" s="16">
        <v>509229</v>
      </c>
      <c r="L30" s="16">
        <f t="shared" si="8"/>
        <v>719720.5</v>
      </c>
      <c r="M30" s="16">
        <v>30938.822999999997</v>
      </c>
      <c r="N30" s="16">
        <v>0</v>
      </c>
      <c r="O30" s="16">
        <f t="shared" si="9"/>
        <v>309388.23</v>
      </c>
      <c r="P30" s="16">
        <v>0</v>
      </c>
      <c r="Q30" s="16">
        <f t="shared" si="10"/>
        <v>1029108.73</v>
      </c>
      <c r="R30" s="30">
        <f t="shared" si="6"/>
        <v>93.35895767472253</v>
      </c>
      <c r="S30" s="16">
        <v>50550.652</v>
      </c>
      <c r="T30" s="30">
        <f t="shared" si="11"/>
        <v>45.85867404406945</v>
      </c>
      <c r="U30" s="18" t="s">
        <v>212</v>
      </c>
      <c r="V30" s="18" t="s">
        <v>213</v>
      </c>
    </row>
    <row r="31" spans="1:21" ht="18.75" customHeight="1">
      <c r="A31" s="45" t="s">
        <v>29</v>
      </c>
      <c r="B31" s="28" t="s">
        <v>143</v>
      </c>
      <c r="C31" s="28" t="s">
        <v>149</v>
      </c>
      <c r="D31" s="28" t="s">
        <v>150</v>
      </c>
      <c r="E31" s="29">
        <v>138</v>
      </c>
      <c r="F31" s="16">
        <v>605888.51</v>
      </c>
      <c r="G31" s="16">
        <v>440921.97</v>
      </c>
      <c r="H31" s="16">
        <f t="shared" si="7"/>
        <v>1046810.48</v>
      </c>
      <c r="I31" s="30">
        <v>11.34</v>
      </c>
      <c r="J31" s="16">
        <f>336226.5+133887.5</f>
        <v>470114</v>
      </c>
      <c r="K31" s="16">
        <f>286936.5+153747</f>
        <v>440683.5</v>
      </c>
      <c r="L31" s="16">
        <f t="shared" si="8"/>
        <v>910797.5</v>
      </c>
      <c r="M31" s="16">
        <f>40157.35-30026.48</f>
        <v>10130.869999999999</v>
      </c>
      <c r="N31" s="16">
        <v>0</v>
      </c>
      <c r="O31" s="16">
        <f t="shared" si="9"/>
        <v>101308.69999999998</v>
      </c>
      <c r="P31" s="16">
        <v>0</v>
      </c>
      <c r="Q31" s="16">
        <f t="shared" si="10"/>
        <v>1012106.2</v>
      </c>
      <c r="R31" s="30">
        <f t="shared" si="6"/>
        <v>96.68475997680115</v>
      </c>
      <c r="S31" s="16">
        <f>53808.13+741.43</f>
        <v>54549.56</v>
      </c>
      <c r="T31" s="30">
        <f t="shared" si="11"/>
        <v>52.110253997457114</v>
      </c>
      <c r="U31" s="19" t="s">
        <v>206</v>
      </c>
    </row>
    <row r="32" spans="1:21" ht="18.75" customHeight="1">
      <c r="A32" s="45" t="s">
        <v>30</v>
      </c>
      <c r="B32" s="28" t="s">
        <v>151</v>
      </c>
      <c r="C32" s="28" t="s">
        <v>141</v>
      </c>
      <c r="D32" s="28">
        <v>110</v>
      </c>
      <c r="E32" s="29">
        <v>110</v>
      </c>
      <c r="F32" s="16">
        <v>1075200.12</v>
      </c>
      <c r="G32" s="16">
        <v>3102792.31</v>
      </c>
      <c r="H32" s="16">
        <f t="shared" si="7"/>
        <v>4177992.43</v>
      </c>
      <c r="I32" s="30">
        <v>11.56</v>
      </c>
      <c r="J32" s="16">
        <f>288935.96+5482.43</f>
        <v>294418.39</v>
      </c>
      <c r="K32" s="16">
        <f>944264.85+17491.63</f>
        <v>961756.48</v>
      </c>
      <c r="L32" s="16">
        <f t="shared" si="8"/>
        <v>1256174.87</v>
      </c>
      <c r="M32" s="16">
        <f>251912.623+661.626</f>
        <v>252574.24899999998</v>
      </c>
      <c r="N32" s="16">
        <v>0</v>
      </c>
      <c r="O32" s="16">
        <f t="shared" si="9"/>
        <v>2525742.4899999998</v>
      </c>
      <c r="P32" s="16">
        <f>657951.579+2257.277</f>
        <v>660208.856</v>
      </c>
      <c r="Q32" s="16">
        <f t="shared" si="10"/>
        <v>4442126.216</v>
      </c>
      <c r="R32" s="30">
        <f t="shared" si="6"/>
        <v>106.32202643794642</v>
      </c>
      <c r="S32" s="16">
        <f>177413.42+688.745</f>
        <v>178102.165</v>
      </c>
      <c r="T32" s="30">
        <f t="shared" si="11"/>
        <v>42.628647127539196</v>
      </c>
      <c r="U32" s="9" t="s">
        <v>113</v>
      </c>
    </row>
    <row r="33" spans="1:21" ht="18.75" customHeight="1">
      <c r="A33" s="45" t="s">
        <v>31</v>
      </c>
      <c r="B33" s="28" t="s">
        <v>143</v>
      </c>
      <c r="C33" s="28" t="s">
        <v>141</v>
      </c>
      <c r="D33" s="28" t="s">
        <v>145</v>
      </c>
      <c r="E33" s="29">
        <v>128</v>
      </c>
      <c r="F33" s="16">
        <v>422440.65</v>
      </c>
      <c r="G33" s="16">
        <v>518071.26</v>
      </c>
      <c r="H33" s="16">
        <f t="shared" si="7"/>
        <v>940511.91</v>
      </c>
      <c r="I33" s="30">
        <v>11.4</v>
      </c>
      <c r="J33" s="16">
        <f>131957.5+41195</f>
        <v>173152.5</v>
      </c>
      <c r="K33" s="16">
        <f>385135+119955</f>
        <v>505090</v>
      </c>
      <c r="L33" s="16">
        <f t="shared" si="8"/>
        <v>678242.5</v>
      </c>
      <c r="M33" s="16">
        <f>37499.68-17083.75</f>
        <v>20415.93</v>
      </c>
      <c r="N33" s="16">
        <v>0</v>
      </c>
      <c r="O33" s="16">
        <f t="shared" si="9"/>
        <v>204159.3</v>
      </c>
      <c r="P33" s="16">
        <v>0</v>
      </c>
      <c r="Q33" s="16">
        <f t="shared" si="10"/>
        <v>882401.8</v>
      </c>
      <c r="R33" s="30">
        <f t="shared" si="6"/>
        <v>93.82143815701387</v>
      </c>
      <c r="S33" s="16">
        <f>41151.83+142.13</f>
        <v>41293.96</v>
      </c>
      <c r="T33" s="30">
        <f t="shared" si="11"/>
        <v>43.90583421745292</v>
      </c>
      <c r="U33" s="19" t="s">
        <v>206</v>
      </c>
    </row>
    <row r="34" spans="1:20" ht="18.75" customHeight="1">
      <c r="A34" s="45" t="s">
        <v>32</v>
      </c>
      <c r="B34" s="28" t="s">
        <v>143</v>
      </c>
      <c r="C34" s="28" t="s">
        <v>144</v>
      </c>
      <c r="D34" s="28" t="s">
        <v>142</v>
      </c>
      <c r="E34" s="29">
        <v>101</v>
      </c>
      <c r="F34" s="16">
        <v>767489.92</v>
      </c>
      <c r="G34" s="16">
        <v>206422.27</v>
      </c>
      <c r="H34" s="16">
        <f t="shared" si="7"/>
        <v>973912.1900000001</v>
      </c>
      <c r="I34" s="30">
        <v>11.48</v>
      </c>
      <c r="J34" s="16">
        <v>201856</v>
      </c>
      <c r="K34" s="16">
        <v>282429.5</v>
      </c>
      <c r="L34" s="16">
        <f t="shared" si="8"/>
        <v>484285.5</v>
      </c>
      <c r="M34" s="16">
        <v>50598.443</v>
      </c>
      <c r="N34" s="16">
        <v>0</v>
      </c>
      <c r="O34" s="16">
        <f t="shared" si="9"/>
        <v>505984.43</v>
      </c>
      <c r="P34" s="16">
        <v>0</v>
      </c>
      <c r="Q34" s="16">
        <f t="shared" si="10"/>
        <v>990269.9299999999</v>
      </c>
      <c r="R34" s="30">
        <f t="shared" si="6"/>
        <v>101.67959084689144</v>
      </c>
      <c r="S34" s="16">
        <v>43229.53</v>
      </c>
      <c r="T34" s="30">
        <f t="shared" si="11"/>
        <v>44.38750273779816</v>
      </c>
    </row>
    <row r="35" spans="1:20" ht="18.75" customHeight="1">
      <c r="A35" s="45" t="s">
        <v>33</v>
      </c>
      <c r="B35" s="28" t="s">
        <v>151</v>
      </c>
      <c r="C35" s="28" t="s">
        <v>152</v>
      </c>
      <c r="D35" s="28" t="s">
        <v>153</v>
      </c>
      <c r="E35" s="29">
        <v>114</v>
      </c>
      <c r="F35" s="16">
        <v>403043.26</v>
      </c>
      <c r="G35" s="16">
        <v>854389.46</v>
      </c>
      <c r="H35" s="16">
        <f t="shared" si="7"/>
        <v>1257432.72</v>
      </c>
      <c r="I35" s="30">
        <v>12.64</v>
      </c>
      <c r="J35" s="16">
        <v>267028</v>
      </c>
      <c r="K35" s="16">
        <v>29996.5</v>
      </c>
      <c r="L35" s="16">
        <f t="shared" si="8"/>
        <v>297024.5</v>
      </c>
      <c r="M35" s="16">
        <v>105949.11</v>
      </c>
      <c r="N35" s="16">
        <v>0</v>
      </c>
      <c r="O35" s="16">
        <f t="shared" si="9"/>
        <v>1059491.1</v>
      </c>
      <c r="P35" s="16">
        <v>49041.2</v>
      </c>
      <c r="Q35" s="16">
        <f t="shared" si="10"/>
        <v>1405556.8</v>
      </c>
      <c r="R35" s="30">
        <f t="shared" si="6"/>
        <v>111.77988115340278</v>
      </c>
      <c r="S35" s="16">
        <v>59049.03</v>
      </c>
      <c r="T35" s="30">
        <f t="shared" si="11"/>
        <v>46.95999162484018</v>
      </c>
    </row>
    <row r="36" spans="1:21" ht="18.75" customHeight="1">
      <c r="A36" s="45" t="s">
        <v>34</v>
      </c>
      <c r="B36" s="28" t="s">
        <v>154</v>
      </c>
      <c r="C36" s="34" t="s">
        <v>218</v>
      </c>
      <c r="D36" s="28">
        <v>126</v>
      </c>
      <c r="E36" s="29">
        <v>126</v>
      </c>
      <c r="F36" s="16">
        <v>336845.43</v>
      </c>
      <c r="G36" s="16">
        <v>253699.73</v>
      </c>
      <c r="H36" s="16">
        <f t="shared" si="7"/>
        <v>590545.16</v>
      </c>
      <c r="I36" s="30">
        <v>11.67</v>
      </c>
      <c r="J36" s="16">
        <f>163179.5+701.57</f>
        <v>163881.07</v>
      </c>
      <c r="K36" s="16">
        <f>242177+2806.27</f>
        <v>244983.27</v>
      </c>
      <c r="L36" s="16">
        <f t="shared" si="8"/>
        <v>408864.33999999997</v>
      </c>
      <c r="M36" s="16">
        <v>19679.755</v>
      </c>
      <c r="N36" s="16">
        <v>0</v>
      </c>
      <c r="O36" s="16">
        <f t="shared" si="9"/>
        <v>196797.55000000002</v>
      </c>
      <c r="P36" s="16">
        <v>0</v>
      </c>
      <c r="Q36" s="16">
        <f t="shared" si="10"/>
        <v>605661.89</v>
      </c>
      <c r="R36" s="30">
        <f t="shared" si="6"/>
        <v>102.55979237896048</v>
      </c>
      <c r="S36" s="16">
        <f>25222.04+240.376</f>
        <v>25462.416</v>
      </c>
      <c r="T36" s="30">
        <f t="shared" si="11"/>
        <v>43.11679736736814</v>
      </c>
      <c r="U36" s="9" t="s">
        <v>113</v>
      </c>
    </row>
    <row r="37" spans="1:20" ht="18.75" customHeight="1">
      <c r="A37" s="45" t="s">
        <v>35</v>
      </c>
      <c r="B37" s="28" t="s">
        <v>155</v>
      </c>
      <c r="C37" s="28" t="s">
        <v>132</v>
      </c>
      <c r="D37" s="28" t="s">
        <v>130</v>
      </c>
      <c r="E37" s="29">
        <v>122</v>
      </c>
      <c r="F37" s="16">
        <v>1299790.09</v>
      </c>
      <c r="G37" s="16">
        <v>2124975.59</v>
      </c>
      <c r="H37" s="16">
        <f t="shared" si="7"/>
        <v>3424765.6799999997</v>
      </c>
      <c r="I37" s="30">
        <v>12.38</v>
      </c>
      <c r="J37" s="16">
        <v>165256.9</v>
      </c>
      <c r="K37" s="16">
        <v>962489.6</v>
      </c>
      <c r="L37" s="16">
        <f t="shared" si="8"/>
        <v>1127746.5</v>
      </c>
      <c r="M37" s="16">
        <v>249635.462</v>
      </c>
      <c r="N37" s="16">
        <v>201593.75</v>
      </c>
      <c r="O37" s="16">
        <f t="shared" si="9"/>
        <v>2697948.37</v>
      </c>
      <c r="P37" s="16">
        <v>0</v>
      </c>
      <c r="Q37" s="16">
        <f t="shared" si="10"/>
        <v>3825694.87</v>
      </c>
      <c r="R37" s="30">
        <f t="shared" si="6"/>
        <v>111.70676266529277</v>
      </c>
      <c r="S37" s="16">
        <v>148733.75</v>
      </c>
      <c r="T37" s="30">
        <f t="shared" si="11"/>
        <v>43.42888357839419</v>
      </c>
    </row>
    <row r="38" spans="1:20" ht="18.75" customHeight="1">
      <c r="A38" s="45" t="s">
        <v>36</v>
      </c>
      <c r="B38" s="28" t="s">
        <v>120</v>
      </c>
      <c r="C38" s="28" t="s">
        <v>124</v>
      </c>
      <c r="D38" s="28" t="s">
        <v>105</v>
      </c>
      <c r="E38" s="29">
        <v>144</v>
      </c>
      <c r="F38" s="16">
        <v>461291.93</v>
      </c>
      <c r="G38" s="16">
        <v>1499475.7</v>
      </c>
      <c r="H38" s="16">
        <f t="shared" si="7"/>
        <v>1960767.63</v>
      </c>
      <c r="I38" s="30">
        <v>11.46</v>
      </c>
      <c r="J38" s="16">
        <v>585056.5</v>
      </c>
      <c r="K38" s="16">
        <v>0</v>
      </c>
      <c r="L38" s="16">
        <f t="shared" si="8"/>
        <v>585056.5</v>
      </c>
      <c r="M38" s="16">
        <v>141218.256</v>
      </c>
      <c r="N38" s="16">
        <v>0</v>
      </c>
      <c r="O38" s="16">
        <f t="shared" si="9"/>
        <v>1412182.56</v>
      </c>
      <c r="P38" s="16">
        <v>0</v>
      </c>
      <c r="Q38" s="16">
        <f t="shared" si="10"/>
        <v>1997239.06</v>
      </c>
      <c r="R38" s="30">
        <f t="shared" si="6"/>
        <v>101.86005875668195</v>
      </c>
      <c r="S38" s="16">
        <v>92241.97099999999</v>
      </c>
      <c r="T38" s="30">
        <f t="shared" si="11"/>
        <v>47.04380549162778</v>
      </c>
    </row>
    <row r="39" spans="1:20" ht="18.75" customHeight="1">
      <c r="A39" s="45" t="s">
        <v>37</v>
      </c>
      <c r="B39" s="28" t="s">
        <v>156</v>
      </c>
      <c r="C39" s="28" t="s">
        <v>149</v>
      </c>
      <c r="D39" s="28" t="s">
        <v>102</v>
      </c>
      <c r="E39" s="29">
        <v>113</v>
      </c>
      <c r="F39" s="16">
        <v>502083.67</v>
      </c>
      <c r="G39" s="16">
        <v>1047668.79</v>
      </c>
      <c r="H39" s="16">
        <f t="shared" si="7"/>
        <v>1549752.46</v>
      </c>
      <c r="I39" s="30">
        <v>12.29</v>
      </c>
      <c r="J39" s="16">
        <v>0</v>
      </c>
      <c r="K39" s="16">
        <v>0</v>
      </c>
      <c r="L39" s="16">
        <f t="shared" si="8"/>
        <v>0</v>
      </c>
      <c r="M39" s="16">
        <v>169604.95</v>
      </c>
      <c r="N39" s="16">
        <v>0</v>
      </c>
      <c r="O39" s="16">
        <f t="shared" si="9"/>
        <v>1696049.5</v>
      </c>
      <c r="P39" s="16">
        <v>0</v>
      </c>
      <c r="Q39" s="16">
        <f t="shared" si="10"/>
        <v>1696049.5</v>
      </c>
      <c r="R39" s="30">
        <f t="shared" si="6"/>
        <v>109.4400263123312</v>
      </c>
      <c r="S39" s="16">
        <v>77277.28</v>
      </c>
      <c r="T39" s="30">
        <f t="shared" si="11"/>
        <v>49.86427316269593</v>
      </c>
    </row>
    <row r="40" spans="1:20" ht="18.75" customHeight="1">
      <c r="A40" s="45" t="s">
        <v>38</v>
      </c>
      <c r="B40" s="28" t="s">
        <v>140</v>
      </c>
      <c r="C40" s="28" t="s">
        <v>152</v>
      </c>
      <c r="D40" s="28" t="s">
        <v>100</v>
      </c>
      <c r="E40" s="29">
        <v>105</v>
      </c>
      <c r="F40" s="16">
        <v>471086.73</v>
      </c>
      <c r="G40" s="16">
        <v>546768.32</v>
      </c>
      <c r="H40" s="16">
        <f t="shared" si="7"/>
        <v>1017855.0499999999</v>
      </c>
      <c r="I40" s="30">
        <v>11.73</v>
      </c>
      <c r="J40" s="16">
        <v>0</v>
      </c>
      <c r="K40" s="16">
        <v>0</v>
      </c>
      <c r="L40" s="16">
        <f t="shared" si="8"/>
        <v>0</v>
      </c>
      <c r="M40" s="16">
        <v>110782.58300000001</v>
      </c>
      <c r="N40" s="16">
        <v>0</v>
      </c>
      <c r="O40" s="16">
        <f t="shared" si="9"/>
        <v>1107825.83</v>
      </c>
      <c r="P40" s="16">
        <v>5325</v>
      </c>
      <c r="Q40" s="16">
        <f t="shared" si="10"/>
        <v>1113150.83</v>
      </c>
      <c r="R40" s="30">
        <f t="shared" si="6"/>
        <v>109.36241167148506</v>
      </c>
      <c r="S40" s="16">
        <v>43809.948</v>
      </c>
      <c r="T40" s="30">
        <f t="shared" si="11"/>
        <v>43.04144092029607</v>
      </c>
    </row>
    <row r="41" spans="1:20" ht="18.75" customHeight="1">
      <c r="A41" s="46" t="s">
        <v>17</v>
      </c>
      <c r="B41" s="35"/>
      <c r="C41" s="35"/>
      <c r="D41" s="35"/>
      <c r="E41" s="36"/>
      <c r="F41" s="33">
        <f>SUM(F21:F40)</f>
        <v>11068590.67</v>
      </c>
      <c r="G41" s="33">
        <f>SUM(G21:G40)</f>
        <v>20467974.009999998</v>
      </c>
      <c r="H41" s="33">
        <f>SUM(H21:H40)</f>
        <v>31536564.68</v>
      </c>
      <c r="I41" s="17">
        <f>((H21*I21)+(H22*I22)+(H23*I23)+(H24*I24)+(H25*I25)+(H26*I26)+(H27*I27)+(H28*I28)+(H29*I29)+(H30*I30)+(H31*I31)+(H32*I32)+(H33*I33)+(H34*I34)+(H35*I35)+(H36*I36)+(H37*I37)+(H38*I38)+(H39*I39)+(H40*I40))/H41</f>
        <v>11.659616119665445</v>
      </c>
      <c r="J41" s="33">
        <f>SUM(J21:J40)</f>
        <v>4001399.36</v>
      </c>
      <c r="K41" s="33">
        <f>SUM(K21:K40)</f>
        <v>7782689.35</v>
      </c>
      <c r="L41" s="33">
        <f>SUM(L21:L40)</f>
        <v>11784088.71</v>
      </c>
      <c r="M41" s="33">
        <f>SUM(M21:M40)</f>
        <v>1974830.2910000002</v>
      </c>
      <c r="N41" s="33">
        <f>SUM(N21:N40)</f>
        <v>201593.75</v>
      </c>
      <c r="O41" s="33">
        <f>(M41*10)+N41</f>
        <v>19949896.660000004</v>
      </c>
      <c r="P41" s="33">
        <f>SUM(P21:P40)</f>
        <v>860284.7539</v>
      </c>
      <c r="Q41" s="33">
        <f>SUM(Q21:Q40)</f>
        <v>32594270.123900004</v>
      </c>
      <c r="R41" s="17">
        <f t="shared" si="6"/>
        <v>103.35390190603349</v>
      </c>
      <c r="S41" s="33">
        <f>SUM(S21:S40)</f>
        <v>1422852.922</v>
      </c>
      <c r="T41" s="17">
        <f t="shared" si="11"/>
        <v>45.11756231021419</v>
      </c>
    </row>
    <row r="42" spans="1:20" ht="18.75" customHeight="1">
      <c r="A42" s="44" t="s">
        <v>39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6"/>
      <c r="S42" s="25"/>
      <c r="T42" s="26"/>
    </row>
    <row r="43" spans="1:20" ht="18.75" customHeight="1">
      <c r="A43" s="45" t="s">
        <v>40</v>
      </c>
      <c r="B43" s="28" t="s">
        <v>157</v>
      </c>
      <c r="C43" s="28" t="s">
        <v>149</v>
      </c>
      <c r="D43" s="28" t="s">
        <v>107</v>
      </c>
      <c r="E43" s="29">
        <v>118</v>
      </c>
      <c r="F43" s="16">
        <v>95459.91</v>
      </c>
      <c r="G43" s="16">
        <v>306036.67</v>
      </c>
      <c r="H43" s="16">
        <f>F43+G43</f>
        <v>401496.57999999996</v>
      </c>
      <c r="I43" s="30">
        <v>12.43</v>
      </c>
      <c r="J43" s="16">
        <v>0</v>
      </c>
      <c r="K43" s="16">
        <v>0</v>
      </c>
      <c r="L43" s="16">
        <f>J43+K43</f>
        <v>0</v>
      </c>
      <c r="M43" s="16">
        <v>45067.75</v>
      </c>
      <c r="N43" s="16">
        <v>0</v>
      </c>
      <c r="O43" s="16">
        <f aca="true" t="shared" si="12" ref="O43:O48">(M43*10)+N43</f>
        <v>450677.5</v>
      </c>
      <c r="P43" s="16">
        <v>0</v>
      </c>
      <c r="Q43" s="16">
        <f>L43+O43+P43</f>
        <v>450677.5</v>
      </c>
      <c r="R43" s="30">
        <f t="shared" si="6"/>
        <v>112.24939948429947</v>
      </c>
      <c r="S43" s="16">
        <v>17317.74</v>
      </c>
      <c r="T43" s="30">
        <f t="shared" si="11"/>
        <v>43.13297014883664</v>
      </c>
    </row>
    <row r="44" spans="1:20" ht="18.75" customHeight="1">
      <c r="A44" s="45" t="s">
        <v>41</v>
      </c>
      <c r="B44" s="28" t="s">
        <v>158</v>
      </c>
      <c r="C44" s="28" t="s">
        <v>148</v>
      </c>
      <c r="D44" s="28" t="s">
        <v>159</v>
      </c>
      <c r="E44" s="29">
        <v>107</v>
      </c>
      <c r="F44" s="16">
        <v>159305.62</v>
      </c>
      <c r="G44" s="16">
        <v>517703.21</v>
      </c>
      <c r="H44" s="16">
        <f>F44+G44</f>
        <v>677008.8300000001</v>
      </c>
      <c r="I44" s="30">
        <v>12.08</v>
      </c>
      <c r="J44" s="16">
        <v>207630</v>
      </c>
      <c r="K44" s="16">
        <v>373635</v>
      </c>
      <c r="L44" s="16">
        <f>J44+K44</f>
        <v>581265</v>
      </c>
      <c r="M44" s="16">
        <v>10014.83</v>
      </c>
      <c r="N44" s="16">
        <v>0</v>
      </c>
      <c r="O44" s="16">
        <f t="shared" si="12"/>
        <v>100148.3</v>
      </c>
      <c r="P44" s="16">
        <v>0</v>
      </c>
      <c r="Q44" s="16">
        <f>L44+O44+P44</f>
        <v>681413.3</v>
      </c>
      <c r="R44" s="30">
        <f t="shared" si="6"/>
        <v>100.65057792525393</v>
      </c>
      <c r="S44" s="16">
        <v>33814</v>
      </c>
      <c r="T44" s="30">
        <f t="shared" si="11"/>
        <v>49.94617278477741</v>
      </c>
    </row>
    <row r="45" spans="1:20" ht="18.75" customHeight="1">
      <c r="A45" s="45" t="s">
        <v>42</v>
      </c>
      <c r="B45" s="28" t="s">
        <v>123</v>
      </c>
      <c r="C45" s="28" t="s">
        <v>160</v>
      </c>
      <c r="D45" s="28" t="s">
        <v>103</v>
      </c>
      <c r="E45" s="29">
        <v>123</v>
      </c>
      <c r="F45" s="16">
        <v>1163373.48</v>
      </c>
      <c r="G45" s="16">
        <v>2704772.66</v>
      </c>
      <c r="H45" s="16">
        <f>F45+G45</f>
        <v>3868146.14</v>
      </c>
      <c r="I45" s="30">
        <v>13.02</v>
      </c>
      <c r="J45" s="16">
        <v>1950</v>
      </c>
      <c r="K45" s="16">
        <v>945</v>
      </c>
      <c r="L45" s="16">
        <f>J45+K45</f>
        <v>2895</v>
      </c>
      <c r="M45" s="16">
        <v>425612.68</v>
      </c>
      <c r="N45" s="16">
        <v>173102</v>
      </c>
      <c r="O45" s="16">
        <f t="shared" si="12"/>
        <v>4429228.8</v>
      </c>
      <c r="P45" s="16">
        <v>0</v>
      </c>
      <c r="Q45" s="16">
        <f>L45+O45+P45</f>
        <v>4432123.8</v>
      </c>
      <c r="R45" s="30">
        <f t="shared" si="6"/>
        <v>114.58005048382168</v>
      </c>
      <c r="S45" s="16">
        <v>174950</v>
      </c>
      <c r="T45" s="30">
        <f t="shared" si="11"/>
        <v>45.22838426161427</v>
      </c>
    </row>
    <row r="46" spans="1:21" ht="18.75" customHeight="1">
      <c r="A46" s="45" t="s">
        <v>43</v>
      </c>
      <c r="B46" s="28" t="s">
        <v>115</v>
      </c>
      <c r="C46" s="28" t="s">
        <v>160</v>
      </c>
      <c r="D46" s="28" t="s">
        <v>107</v>
      </c>
      <c r="E46" s="29">
        <v>126</v>
      </c>
      <c r="F46" s="16">
        <v>117257.78</v>
      </c>
      <c r="G46" s="16">
        <v>397137.36</v>
      </c>
      <c r="H46" s="16">
        <f>F46+G46</f>
        <v>514395.14</v>
      </c>
      <c r="I46" s="30">
        <v>12.59</v>
      </c>
      <c r="J46" s="16">
        <f>325716.5+52810.5</f>
        <v>378527</v>
      </c>
      <c r="K46" s="16">
        <v>0</v>
      </c>
      <c r="L46" s="16">
        <f>J46+K46</f>
        <v>378527</v>
      </c>
      <c r="M46" s="16">
        <f>19676.72-5870.32</f>
        <v>13806.400000000001</v>
      </c>
      <c r="N46" s="16">
        <v>0</v>
      </c>
      <c r="O46" s="16">
        <f t="shared" si="12"/>
        <v>138064</v>
      </c>
      <c r="P46" s="16">
        <v>0</v>
      </c>
      <c r="Q46" s="16">
        <f>L46+O46+P46</f>
        <v>516591</v>
      </c>
      <c r="R46" s="30">
        <f t="shared" si="6"/>
        <v>100.42688194915682</v>
      </c>
      <c r="S46" s="16">
        <f>30347.57+91</f>
        <v>30438.57</v>
      </c>
      <c r="T46" s="30">
        <f t="shared" si="11"/>
        <v>59.17351785244316</v>
      </c>
      <c r="U46" s="19" t="s">
        <v>206</v>
      </c>
    </row>
    <row r="47" spans="1:20" ht="18.75" customHeight="1">
      <c r="A47" s="45" t="s">
        <v>161</v>
      </c>
      <c r="B47" s="28" t="s">
        <v>162</v>
      </c>
      <c r="C47" s="28" t="s">
        <v>136</v>
      </c>
      <c r="D47" s="28" t="s">
        <v>163</v>
      </c>
      <c r="E47" s="29">
        <v>94</v>
      </c>
      <c r="F47" s="16">
        <v>169767.44</v>
      </c>
      <c r="G47" s="16">
        <v>248562.8</v>
      </c>
      <c r="H47" s="16">
        <f>F47+G47</f>
        <v>418330.24</v>
      </c>
      <c r="I47" s="30">
        <v>13.74</v>
      </c>
      <c r="J47" s="16">
        <v>0</v>
      </c>
      <c r="K47" s="16">
        <v>0</v>
      </c>
      <c r="L47" s="16">
        <f>J47+K47</f>
        <v>0</v>
      </c>
      <c r="M47" s="16">
        <v>49269.95</v>
      </c>
      <c r="N47" s="16">
        <v>0</v>
      </c>
      <c r="O47" s="16">
        <f t="shared" si="12"/>
        <v>492699.5</v>
      </c>
      <c r="P47" s="16">
        <v>0</v>
      </c>
      <c r="Q47" s="16">
        <f>L47+O47+P47</f>
        <v>492699.5</v>
      </c>
      <c r="R47" s="30">
        <f t="shared" si="6"/>
        <v>117.77764380600361</v>
      </c>
      <c r="S47" s="16">
        <v>22600</v>
      </c>
      <c r="T47" s="30">
        <f t="shared" si="11"/>
        <v>54.024303860987914</v>
      </c>
    </row>
    <row r="48" spans="1:20" ht="18.75" customHeight="1">
      <c r="A48" s="46" t="s">
        <v>17</v>
      </c>
      <c r="B48" s="35"/>
      <c r="C48" s="35"/>
      <c r="D48" s="31"/>
      <c r="E48" s="32"/>
      <c r="F48" s="37">
        <f>SUM(F43:F47)</f>
        <v>1705164.23</v>
      </c>
      <c r="G48" s="37">
        <f>SUM(G43:G47)</f>
        <v>4174212.6999999997</v>
      </c>
      <c r="H48" s="37">
        <f>SUM(H43:H47)</f>
        <v>5879376.930000001</v>
      </c>
      <c r="I48" s="17">
        <f>((H43*I43)+(H44*I44)+(H45*I45)+(H46*I46)+(H47*I47))/H48</f>
        <v>12.885076958112293</v>
      </c>
      <c r="J48" s="33">
        <f>SUM(J43:J47)</f>
        <v>588107</v>
      </c>
      <c r="K48" s="33">
        <f>SUM(K43:K47)</f>
        <v>374580</v>
      </c>
      <c r="L48" s="33">
        <f>SUM(L43:L47)</f>
        <v>962687</v>
      </c>
      <c r="M48" s="33">
        <f>SUM(M43:M47)</f>
        <v>543771.61</v>
      </c>
      <c r="N48" s="33">
        <f>SUM(N43:N47)</f>
        <v>173102</v>
      </c>
      <c r="O48" s="33">
        <f t="shared" si="12"/>
        <v>5610818.1</v>
      </c>
      <c r="P48" s="33">
        <f>SUM(P43:P47)</f>
        <v>0</v>
      </c>
      <c r="Q48" s="33">
        <f>SUM(Q43:Q47)</f>
        <v>6573505.1</v>
      </c>
      <c r="R48" s="17">
        <f t="shared" si="6"/>
        <v>111.8061518807912</v>
      </c>
      <c r="S48" s="33">
        <f>SUM(S43:S47)</f>
        <v>279120.31</v>
      </c>
      <c r="T48" s="17">
        <f t="shared" si="11"/>
        <v>47.47447107460756</v>
      </c>
    </row>
    <row r="49" spans="1:20" ht="18.75" customHeight="1">
      <c r="A49" s="45" t="s">
        <v>44</v>
      </c>
      <c r="B49" s="27"/>
      <c r="C49" s="27"/>
      <c r="D49" s="28"/>
      <c r="E49" s="28"/>
      <c r="F49" s="27"/>
      <c r="G49" s="27"/>
      <c r="H49" s="27"/>
      <c r="I49" s="28"/>
      <c r="J49" s="27"/>
      <c r="K49" s="27"/>
      <c r="L49" s="27"/>
      <c r="M49" s="27"/>
      <c r="N49" s="27"/>
      <c r="O49" s="27"/>
      <c r="P49" s="27"/>
      <c r="Q49" s="27"/>
      <c r="R49" s="28"/>
      <c r="S49" s="27"/>
      <c r="T49" s="28"/>
    </row>
    <row r="50" spans="1:21" ht="18.75" customHeight="1">
      <c r="A50" s="45" t="s">
        <v>45</v>
      </c>
      <c r="B50" s="27" t="s">
        <v>123</v>
      </c>
      <c r="C50" s="27" t="s">
        <v>127</v>
      </c>
      <c r="D50" s="28" t="s">
        <v>164</v>
      </c>
      <c r="E50" s="29">
        <v>159</v>
      </c>
      <c r="F50" s="16">
        <v>1232711.74</v>
      </c>
      <c r="G50" s="16">
        <v>1841617</v>
      </c>
      <c r="H50" s="16">
        <f>F50+G50</f>
        <v>3074328.74</v>
      </c>
      <c r="I50" s="30">
        <v>13.57</v>
      </c>
      <c r="J50" s="16">
        <v>0</v>
      </c>
      <c r="K50" s="16">
        <f>1680058.75+26011.45</f>
        <v>1706070.2</v>
      </c>
      <c r="L50" s="16">
        <f>J50+K50</f>
        <v>1706070.2</v>
      </c>
      <c r="M50" s="16">
        <v>192959.9</v>
      </c>
      <c r="N50" s="16">
        <v>0</v>
      </c>
      <c r="O50" s="16">
        <f aca="true" t="shared" si="13" ref="O50:O70">(M50*10)+N50</f>
        <v>1929599</v>
      </c>
      <c r="P50" s="16">
        <v>0</v>
      </c>
      <c r="Q50" s="16">
        <f>L50+O50+P50</f>
        <v>3635669.2</v>
      </c>
      <c r="R50" s="30">
        <f t="shared" si="6"/>
        <v>118.25896016572385</v>
      </c>
      <c r="S50" s="16">
        <f>130238.61+3375.299</f>
        <v>133613.909</v>
      </c>
      <c r="T50" s="30">
        <f t="shared" si="11"/>
        <v>43.46116511925137</v>
      </c>
      <c r="U50" s="9" t="s">
        <v>113</v>
      </c>
    </row>
    <row r="51" spans="1:21" ht="18.75" customHeight="1">
      <c r="A51" s="45" t="s">
        <v>46</v>
      </c>
      <c r="B51" s="27" t="s">
        <v>120</v>
      </c>
      <c r="C51" s="27" t="s">
        <v>170</v>
      </c>
      <c r="D51" s="28">
        <v>163</v>
      </c>
      <c r="E51" s="29">
        <v>163</v>
      </c>
      <c r="F51" s="16">
        <v>653176.94</v>
      </c>
      <c r="G51" s="16">
        <v>1173790.86</v>
      </c>
      <c r="H51" s="16">
        <f aca="true" t="shared" si="14" ref="H51:H70">F51+G51</f>
        <v>1826967.8</v>
      </c>
      <c r="I51" s="30">
        <v>13.76</v>
      </c>
      <c r="J51" s="16">
        <f>219731.5+12431.4</f>
        <v>232162.9</v>
      </c>
      <c r="K51" s="16">
        <v>0</v>
      </c>
      <c r="L51" s="16">
        <f aca="true" t="shared" si="15" ref="L51:L70">J51+K51</f>
        <v>232162.9</v>
      </c>
      <c r="M51" s="16">
        <v>190243.73</v>
      </c>
      <c r="N51" s="16">
        <v>0</v>
      </c>
      <c r="O51" s="16">
        <f t="shared" si="13"/>
        <v>1902437.3</v>
      </c>
      <c r="P51" s="16">
        <v>0</v>
      </c>
      <c r="Q51" s="16">
        <f aca="true" t="shared" si="16" ref="Q51:Q70">L51+O51+P51</f>
        <v>2134600.2</v>
      </c>
      <c r="R51" s="30">
        <f t="shared" si="6"/>
        <v>116.83841390089087</v>
      </c>
      <c r="S51" s="16">
        <f>92820.58+1389.4</f>
        <v>94209.98</v>
      </c>
      <c r="T51" s="30">
        <f t="shared" si="11"/>
        <v>51.56630565683752</v>
      </c>
      <c r="U51" s="9" t="s">
        <v>113</v>
      </c>
    </row>
    <row r="52" spans="1:20" ht="18.75" customHeight="1">
      <c r="A52" s="45" t="s">
        <v>47</v>
      </c>
      <c r="B52" s="27" t="s">
        <v>120</v>
      </c>
      <c r="C52" s="27" t="s">
        <v>165</v>
      </c>
      <c r="D52" s="28" t="s">
        <v>108</v>
      </c>
      <c r="E52" s="29">
        <v>166</v>
      </c>
      <c r="F52" s="16">
        <v>2228061.82</v>
      </c>
      <c r="G52" s="16">
        <v>2912284.87</v>
      </c>
      <c r="H52" s="16">
        <f t="shared" si="14"/>
        <v>5140346.6899999995</v>
      </c>
      <c r="I52" s="30">
        <v>14.31</v>
      </c>
      <c r="J52" s="16">
        <v>0</v>
      </c>
      <c r="K52" s="16">
        <v>0</v>
      </c>
      <c r="L52" s="16">
        <f t="shared" si="15"/>
        <v>0</v>
      </c>
      <c r="M52" s="16">
        <v>630629.94</v>
      </c>
      <c r="N52" s="16">
        <v>101166.5</v>
      </c>
      <c r="O52" s="16">
        <f t="shared" si="13"/>
        <v>6407465.899999999</v>
      </c>
      <c r="P52" s="16">
        <v>173511</v>
      </c>
      <c r="Q52" s="16">
        <f t="shared" si="16"/>
        <v>6580976.899999999</v>
      </c>
      <c r="R52" s="30">
        <f t="shared" si="6"/>
        <v>128.02593476433398</v>
      </c>
      <c r="S52" s="16">
        <v>211080.39899999998</v>
      </c>
      <c r="T52" s="30">
        <f t="shared" si="11"/>
        <v>41.06345578025594</v>
      </c>
    </row>
    <row r="53" spans="1:20" ht="18.75" customHeight="1">
      <c r="A53" s="45" t="s">
        <v>48</v>
      </c>
      <c r="B53" s="27" t="s">
        <v>151</v>
      </c>
      <c r="C53" s="27" t="s">
        <v>166</v>
      </c>
      <c r="D53" s="28" t="s">
        <v>110</v>
      </c>
      <c r="E53" s="29">
        <v>150</v>
      </c>
      <c r="F53" s="16">
        <v>436415.8</v>
      </c>
      <c r="G53" s="16">
        <v>643375.19</v>
      </c>
      <c r="H53" s="16">
        <f t="shared" si="14"/>
        <v>1079790.99</v>
      </c>
      <c r="I53" s="30">
        <v>13.4</v>
      </c>
      <c r="J53" s="16">
        <v>0</v>
      </c>
      <c r="K53" s="16">
        <v>0</v>
      </c>
      <c r="L53" s="16">
        <f t="shared" si="15"/>
        <v>0</v>
      </c>
      <c r="M53" s="16">
        <v>130031.24</v>
      </c>
      <c r="N53" s="16">
        <v>0</v>
      </c>
      <c r="O53" s="16">
        <f t="shared" si="13"/>
        <v>1300312.4000000001</v>
      </c>
      <c r="P53" s="16">
        <v>6592.75</v>
      </c>
      <c r="Q53" s="16">
        <f t="shared" si="16"/>
        <v>1306905.1500000001</v>
      </c>
      <c r="R53" s="30">
        <f t="shared" si="6"/>
        <v>121.03315938948519</v>
      </c>
      <c r="S53" s="16">
        <v>54605.46</v>
      </c>
      <c r="T53" s="30">
        <f t="shared" si="11"/>
        <v>50.57039788783568</v>
      </c>
    </row>
    <row r="54" spans="1:20" ht="18.75" customHeight="1">
      <c r="A54" s="45" t="s">
        <v>49</v>
      </c>
      <c r="B54" s="27" t="s">
        <v>120</v>
      </c>
      <c r="C54" s="27" t="s">
        <v>167</v>
      </c>
      <c r="D54" s="28" t="s">
        <v>168</v>
      </c>
      <c r="E54" s="29">
        <v>156</v>
      </c>
      <c r="F54" s="16">
        <v>638602.28</v>
      </c>
      <c r="G54" s="16">
        <v>1121284.22</v>
      </c>
      <c r="H54" s="16">
        <f t="shared" si="14"/>
        <v>1759886.5</v>
      </c>
      <c r="I54" s="30">
        <v>13.59</v>
      </c>
      <c r="J54" s="16">
        <v>271092</v>
      </c>
      <c r="K54" s="16">
        <v>462206.5</v>
      </c>
      <c r="L54" s="16">
        <f t="shared" si="15"/>
        <v>733298.5</v>
      </c>
      <c r="M54" s="16">
        <v>114889.24</v>
      </c>
      <c r="N54" s="16">
        <v>115959</v>
      </c>
      <c r="O54" s="16">
        <f t="shared" si="13"/>
        <v>1264851.4000000001</v>
      </c>
      <c r="P54" s="16">
        <v>0</v>
      </c>
      <c r="Q54" s="16">
        <f t="shared" si="16"/>
        <v>1998149.9000000001</v>
      </c>
      <c r="R54" s="30">
        <f t="shared" si="6"/>
        <v>113.53856626549496</v>
      </c>
      <c r="S54" s="16">
        <v>77810.2</v>
      </c>
      <c r="T54" s="30">
        <f t="shared" si="11"/>
        <v>44.21319215756243</v>
      </c>
    </row>
    <row r="55" spans="1:20" ht="18.75" customHeight="1">
      <c r="A55" s="45" t="s">
        <v>50</v>
      </c>
      <c r="B55" s="27" t="s">
        <v>120</v>
      </c>
      <c r="C55" s="27" t="s">
        <v>124</v>
      </c>
      <c r="D55" s="28" t="s">
        <v>105</v>
      </c>
      <c r="E55" s="29">
        <v>144</v>
      </c>
      <c r="F55" s="16">
        <v>2063237.6</v>
      </c>
      <c r="G55" s="16">
        <v>3314142.1</v>
      </c>
      <c r="H55" s="16">
        <f t="shared" si="14"/>
        <v>5377379.7</v>
      </c>
      <c r="I55" s="30">
        <v>13.12</v>
      </c>
      <c r="J55" s="16">
        <v>123500</v>
      </c>
      <c r="K55" s="16">
        <v>1608297.5</v>
      </c>
      <c r="L55" s="16">
        <f t="shared" si="15"/>
        <v>1731797.5</v>
      </c>
      <c r="M55" s="16">
        <v>463511.12</v>
      </c>
      <c r="N55" s="16">
        <v>0</v>
      </c>
      <c r="O55" s="16">
        <f t="shared" si="13"/>
        <v>4635111.2</v>
      </c>
      <c r="P55" s="16">
        <v>0</v>
      </c>
      <c r="Q55" s="16">
        <f t="shared" si="16"/>
        <v>6366908.7</v>
      </c>
      <c r="R55" s="30">
        <f t="shared" si="6"/>
        <v>118.40169478826276</v>
      </c>
      <c r="S55" s="16">
        <v>237330</v>
      </c>
      <c r="T55" s="30">
        <f t="shared" si="11"/>
        <v>44.13487855432638</v>
      </c>
    </row>
    <row r="56" spans="1:20" ht="18.75" customHeight="1">
      <c r="A56" s="45" t="s">
        <v>51</v>
      </c>
      <c r="B56" s="27" t="s">
        <v>169</v>
      </c>
      <c r="C56" s="27" t="s">
        <v>170</v>
      </c>
      <c r="D56" s="28" t="s">
        <v>109</v>
      </c>
      <c r="E56" s="29">
        <v>151</v>
      </c>
      <c r="F56" s="16">
        <v>2313985.2</v>
      </c>
      <c r="G56" s="16">
        <v>2089361.67</v>
      </c>
      <c r="H56" s="16">
        <f t="shared" si="14"/>
        <v>4403346.87</v>
      </c>
      <c r="I56" s="30">
        <v>13.82</v>
      </c>
      <c r="J56" s="16">
        <v>358611.5</v>
      </c>
      <c r="K56" s="16">
        <v>2016255.8</v>
      </c>
      <c r="L56" s="16">
        <f t="shared" si="15"/>
        <v>2374867.3</v>
      </c>
      <c r="M56" s="16">
        <v>254109.4</v>
      </c>
      <c r="N56" s="16">
        <v>54002.5</v>
      </c>
      <c r="O56" s="16">
        <f t="shared" si="13"/>
        <v>2595096.5</v>
      </c>
      <c r="P56" s="16">
        <v>333414</v>
      </c>
      <c r="Q56" s="16">
        <f t="shared" si="16"/>
        <v>5303377.8</v>
      </c>
      <c r="R56" s="30">
        <f t="shared" si="6"/>
        <v>120.4397009041443</v>
      </c>
      <c r="S56" s="16">
        <v>192889.55</v>
      </c>
      <c r="T56" s="30">
        <f t="shared" si="11"/>
        <v>43.80521355566067</v>
      </c>
    </row>
    <row r="57" spans="1:20" ht="18.75" customHeight="1">
      <c r="A57" s="45" t="s">
        <v>52</v>
      </c>
      <c r="B57" s="27" t="s">
        <v>120</v>
      </c>
      <c r="C57" s="27" t="s">
        <v>124</v>
      </c>
      <c r="D57" s="28" t="s">
        <v>105</v>
      </c>
      <c r="E57" s="29">
        <v>144</v>
      </c>
      <c r="F57" s="16">
        <v>1524923.29</v>
      </c>
      <c r="G57" s="16">
        <v>1480122.89</v>
      </c>
      <c r="H57" s="16">
        <f t="shared" si="14"/>
        <v>3005046.1799999997</v>
      </c>
      <c r="I57" s="30">
        <v>12.99</v>
      </c>
      <c r="J57" s="16">
        <v>213452</v>
      </c>
      <c r="K57" s="16">
        <v>239582</v>
      </c>
      <c r="L57" s="16">
        <f t="shared" si="15"/>
        <v>453034</v>
      </c>
      <c r="M57" s="16">
        <v>275940.78</v>
      </c>
      <c r="N57" s="16">
        <v>0</v>
      </c>
      <c r="O57" s="16">
        <f t="shared" si="13"/>
        <v>2759407.8000000003</v>
      </c>
      <c r="P57" s="16">
        <v>181427.5</v>
      </c>
      <c r="Q57" s="16">
        <f t="shared" si="16"/>
        <v>3393869.3000000003</v>
      </c>
      <c r="R57" s="30">
        <f t="shared" si="6"/>
        <v>112.93900648142453</v>
      </c>
      <c r="S57" s="16">
        <v>148972.78</v>
      </c>
      <c r="T57" s="30">
        <f t="shared" si="11"/>
        <v>49.57420654347482</v>
      </c>
    </row>
    <row r="58" spans="1:20" ht="18.75" customHeight="1">
      <c r="A58" s="45" t="s">
        <v>53</v>
      </c>
      <c r="B58" s="27" t="s">
        <v>120</v>
      </c>
      <c r="C58" s="27" t="s">
        <v>149</v>
      </c>
      <c r="D58" s="28" t="s">
        <v>112</v>
      </c>
      <c r="E58" s="29">
        <v>131</v>
      </c>
      <c r="F58" s="16">
        <v>1332175.23</v>
      </c>
      <c r="G58" s="16">
        <v>1966666.21</v>
      </c>
      <c r="H58" s="16">
        <f t="shared" si="14"/>
        <v>3298841.44</v>
      </c>
      <c r="I58" s="30">
        <v>12.81</v>
      </c>
      <c r="J58" s="16">
        <v>182169</v>
      </c>
      <c r="K58" s="16">
        <v>1058653.35</v>
      </c>
      <c r="L58" s="16">
        <f t="shared" si="15"/>
        <v>1240822.35</v>
      </c>
      <c r="M58" s="16">
        <v>243120.15</v>
      </c>
      <c r="N58" s="16">
        <v>0</v>
      </c>
      <c r="O58" s="16">
        <f t="shared" si="13"/>
        <v>2431201.5</v>
      </c>
      <c r="P58" s="16">
        <v>54480</v>
      </c>
      <c r="Q58" s="16">
        <f t="shared" si="16"/>
        <v>3726503.85</v>
      </c>
      <c r="R58" s="30">
        <f t="shared" si="6"/>
        <v>112.96401836154938</v>
      </c>
      <c r="S58" s="16">
        <v>153047.18</v>
      </c>
      <c r="T58" s="30">
        <f t="shared" si="11"/>
        <v>46.3942213603331</v>
      </c>
    </row>
    <row r="59" spans="1:20" ht="18.75" customHeight="1">
      <c r="A59" s="45" t="s">
        <v>54</v>
      </c>
      <c r="B59" s="27" t="s">
        <v>123</v>
      </c>
      <c r="C59" s="27" t="s">
        <v>135</v>
      </c>
      <c r="D59" s="28" t="s">
        <v>112</v>
      </c>
      <c r="E59" s="29">
        <v>131</v>
      </c>
      <c r="F59" s="16">
        <v>414738.645</v>
      </c>
      <c r="G59" s="16">
        <v>1389048.49</v>
      </c>
      <c r="H59" s="16">
        <f t="shared" si="14"/>
        <v>1803787.135</v>
      </c>
      <c r="I59" s="30">
        <v>13.27</v>
      </c>
      <c r="J59" s="16">
        <v>364020</v>
      </c>
      <c r="K59" s="16">
        <v>0</v>
      </c>
      <c r="L59" s="16">
        <f t="shared" si="15"/>
        <v>364020</v>
      </c>
      <c r="M59" s="16">
        <v>154343.44</v>
      </c>
      <c r="N59" s="16">
        <v>0</v>
      </c>
      <c r="O59" s="16">
        <f t="shared" si="13"/>
        <v>1543434.4</v>
      </c>
      <c r="P59" s="16">
        <v>0</v>
      </c>
      <c r="Q59" s="16">
        <f t="shared" si="16"/>
        <v>1907454.4</v>
      </c>
      <c r="R59" s="30">
        <f t="shared" si="6"/>
        <v>105.7472005974807</v>
      </c>
      <c r="S59" s="16">
        <v>77783.87</v>
      </c>
      <c r="T59" s="30">
        <f t="shared" si="11"/>
        <v>43.12253285917797</v>
      </c>
    </row>
    <row r="60" spans="1:23" ht="18.75" customHeight="1">
      <c r="A60" s="45" t="s">
        <v>55</v>
      </c>
      <c r="B60" s="27" t="s">
        <v>120</v>
      </c>
      <c r="C60" s="27" t="s">
        <v>171</v>
      </c>
      <c r="D60" s="28" t="s">
        <v>98</v>
      </c>
      <c r="E60" s="29">
        <v>160</v>
      </c>
      <c r="F60" s="16">
        <v>661322.6</v>
      </c>
      <c r="G60" s="16">
        <v>1079290.88</v>
      </c>
      <c r="H60" s="16">
        <f t="shared" si="14"/>
        <v>1740613.48</v>
      </c>
      <c r="I60" s="30">
        <v>13.69</v>
      </c>
      <c r="J60" s="16">
        <v>199684.25</v>
      </c>
      <c r="K60" s="16">
        <v>377874</v>
      </c>
      <c r="L60" s="16">
        <f t="shared" si="15"/>
        <v>577558.25</v>
      </c>
      <c r="M60" s="16">
        <v>136532.02</v>
      </c>
      <c r="N60" s="16">
        <v>1160.45</v>
      </c>
      <c r="O60" s="16">
        <f t="shared" si="13"/>
        <v>1366480.65</v>
      </c>
      <c r="P60" s="16">
        <v>0</v>
      </c>
      <c r="Q60" s="16">
        <f t="shared" si="16"/>
        <v>1944038.9</v>
      </c>
      <c r="R60" s="30">
        <f t="shared" si="6"/>
        <v>111.68699555285531</v>
      </c>
      <c r="S60" s="16">
        <f>78767-196</f>
        <v>78571</v>
      </c>
      <c r="T60" s="30">
        <f t="shared" si="11"/>
        <v>45.13983196315359</v>
      </c>
      <c r="U60" s="51" t="s">
        <v>220</v>
      </c>
      <c r="V60" s="52"/>
      <c r="W60" s="52"/>
    </row>
    <row r="61" spans="1:20" ht="18.75" customHeight="1">
      <c r="A61" s="45" t="s">
        <v>56</v>
      </c>
      <c r="B61" s="27" t="s">
        <v>157</v>
      </c>
      <c r="C61" s="27" t="s">
        <v>135</v>
      </c>
      <c r="D61" s="28" t="s">
        <v>172</v>
      </c>
      <c r="E61" s="29">
        <v>129</v>
      </c>
      <c r="F61" s="16">
        <v>858714.3</v>
      </c>
      <c r="G61" s="16">
        <v>2541084.05</v>
      </c>
      <c r="H61" s="16">
        <f t="shared" si="14"/>
        <v>3399798.3499999996</v>
      </c>
      <c r="I61" s="30">
        <v>13.11</v>
      </c>
      <c r="J61" s="16">
        <v>144476.5</v>
      </c>
      <c r="K61" s="16">
        <v>795858</v>
      </c>
      <c r="L61" s="16">
        <f t="shared" si="15"/>
        <v>940334.5</v>
      </c>
      <c r="M61" s="16">
        <v>286565.33</v>
      </c>
      <c r="N61" s="16">
        <v>0</v>
      </c>
      <c r="O61" s="16">
        <f t="shared" si="13"/>
        <v>2865653.3000000003</v>
      </c>
      <c r="P61" s="16">
        <v>20834.7289</v>
      </c>
      <c r="Q61" s="16">
        <f t="shared" si="16"/>
        <v>3826822.5289000003</v>
      </c>
      <c r="R61" s="30">
        <f t="shared" si="6"/>
        <v>112.56027960893624</v>
      </c>
      <c r="S61" s="16">
        <v>179754.53</v>
      </c>
      <c r="T61" s="30">
        <f t="shared" si="11"/>
        <v>52.872115194714425</v>
      </c>
    </row>
    <row r="62" spans="1:21" ht="18.75" customHeight="1">
      <c r="A62" s="45" t="s">
        <v>57</v>
      </c>
      <c r="B62" s="27" t="s">
        <v>157</v>
      </c>
      <c r="C62" s="38" t="s">
        <v>217</v>
      </c>
      <c r="D62" s="28">
        <v>144</v>
      </c>
      <c r="E62" s="29">
        <v>144</v>
      </c>
      <c r="F62" s="16">
        <v>730977.87</v>
      </c>
      <c r="G62" s="16">
        <v>1441642.25</v>
      </c>
      <c r="H62" s="16">
        <f t="shared" si="14"/>
        <v>2172620.12</v>
      </c>
      <c r="I62" s="30">
        <v>14.68</v>
      </c>
      <c r="J62" s="16">
        <f>745716.5+12360.61</f>
        <v>758077.11</v>
      </c>
      <c r="K62" s="16">
        <v>0</v>
      </c>
      <c r="L62" s="16">
        <f t="shared" si="15"/>
        <v>758077.11</v>
      </c>
      <c r="M62" s="16">
        <v>208608.36</v>
      </c>
      <c r="N62" s="16">
        <v>0</v>
      </c>
      <c r="O62" s="16">
        <f t="shared" si="13"/>
        <v>2086083.5999999999</v>
      </c>
      <c r="P62" s="16">
        <v>0</v>
      </c>
      <c r="Q62" s="16">
        <f t="shared" si="16"/>
        <v>2844160.71</v>
      </c>
      <c r="R62" s="30">
        <f t="shared" si="6"/>
        <v>130.90925025586156</v>
      </c>
      <c r="S62" s="16">
        <f>93492.81+1218.264</f>
        <v>94711.074</v>
      </c>
      <c r="T62" s="30">
        <f t="shared" si="11"/>
        <v>43.59302076241474</v>
      </c>
      <c r="U62" s="9" t="s">
        <v>113</v>
      </c>
    </row>
    <row r="63" spans="1:20" ht="18.75" customHeight="1">
      <c r="A63" s="45" t="s">
        <v>58</v>
      </c>
      <c r="B63" s="27" t="s">
        <v>131</v>
      </c>
      <c r="C63" s="27" t="s">
        <v>173</v>
      </c>
      <c r="D63" s="28" t="s">
        <v>99</v>
      </c>
      <c r="E63" s="29">
        <v>153</v>
      </c>
      <c r="F63" s="16">
        <v>1349316.48</v>
      </c>
      <c r="G63" s="16">
        <v>1581960.54</v>
      </c>
      <c r="H63" s="16">
        <f t="shared" si="14"/>
        <v>2931277.02</v>
      </c>
      <c r="I63" s="30">
        <v>13.61</v>
      </c>
      <c r="J63" s="16">
        <v>170880.25</v>
      </c>
      <c r="K63" s="16">
        <v>0</v>
      </c>
      <c r="L63" s="16">
        <f t="shared" si="15"/>
        <v>170880.25</v>
      </c>
      <c r="M63" s="16">
        <v>306206.69</v>
      </c>
      <c r="N63" s="16">
        <v>300548</v>
      </c>
      <c r="O63" s="16">
        <f t="shared" si="13"/>
        <v>3362614.9</v>
      </c>
      <c r="P63" s="16">
        <v>0</v>
      </c>
      <c r="Q63" s="16">
        <f t="shared" si="16"/>
        <v>3533495.15</v>
      </c>
      <c r="R63" s="30">
        <f t="shared" si="6"/>
        <v>120.54456559005126</v>
      </c>
      <c r="S63" s="16">
        <v>137443.45</v>
      </c>
      <c r="T63" s="30">
        <f t="shared" si="11"/>
        <v>46.888591239322714</v>
      </c>
    </row>
    <row r="64" spans="1:20" ht="18.75" customHeight="1">
      <c r="A64" s="45" t="s">
        <v>59</v>
      </c>
      <c r="B64" s="27" t="s">
        <v>131</v>
      </c>
      <c r="C64" s="27" t="s">
        <v>124</v>
      </c>
      <c r="D64" s="28" t="s">
        <v>174</v>
      </c>
      <c r="E64" s="29">
        <v>136</v>
      </c>
      <c r="F64" s="16">
        <v>3496875.05</v>
      </c>
      <c r="G64" s="16">
        <v>1221770.17</v>
      </c>
      <c r="H64" s="16">
        <f t="shared" si="14"/>
        <v>4718645.22</v>
      </c>
      <c r="I64" s="30">
        <v>13.49</v>
      </c>
      <c r="J64" s="16">
        <v>414869</v>
      </c>
      <c r="K64" s="16">
        <v>1116262.2</v>
      </c>
      <c r="L64" s="16">
        <f t="shared" si="15"/>
        <v>1531131.2</v>
      </c>
      <c r="M64" s="16">
        <v>422347.177</v>
      </c>
      <c r="N64" s="16">
        <v>0</v>
      </c>
      <c r="O64" s="16">
        <f t="shared" si="13"/>
        <v>4223471.7700000005</v>
      </c>
      <c r="P64" s="16">
        <v>17570</v>
      </c>
      <c r="Q64" s="16">
        <f t="shared" si="16"/>
        <v>5772172.970000001</v>
      </c>
      <c r="R64" s="30">
        <f t="shared" si="6"/>
        <v>122.32691166385257</v>
      </c>
      <c r="S64" s="16">
        <v>200300.533</v>
      </c>
      <c r="T64" s="30">
        <f t="shared" si="11"/>
        <v>42.44873764847276</v>
      </c>
    </row>
    <row r="65" spans="1:21" ht="18.75" customHeight="1">
      <c r="A65" s="45" t="s">
        <v>60</v>
      </c>
      <c r="B65" s="27" t="s">
        <v>156</v>
      </c>
      <c r="C65" s="27" t="s">
        <v>124</v>
      </c>
      <c r="D65" s="28">
        <v>126</v>
      </c>
      <c r="E65" s="29">
        <v>126</v>
      </c>
      <c r="F65" s="16">
        <v>882263.66</v>
      </c>
      <c r="G65" s="16">
        <v>2470668.08</v>
      </c>
      <c r="H65" s="16">
        <f t="shared" si="14"/>
        <v>3352931.74</v>
      </c>
      <c r="I65" s="30">
        <v>13.31</v>
      </c>
      <c r="J65" s="16">
        <v>166779.5</v>
      </c>
      <c r="K65" s="16">
        <v>486605.5</v>
      </c>
      <c r="L65" s="16">
        <f t="shared" si="15"/>
        <v>653385</v>
      </c>
      <c r="M65" s="16">
        <v>315848.88</v>
      </c>
      <c r="N65" s="16">
        <v>0</v>
      </c>
      <c r="O65" s="16">
        <f t="shared" si="13"/>
        <v>3158488.8</v>
      </c>
      <c r="P65" s="16">
        <v>0</v>
      </c>
      <c r="Q65" s="16">
        <f t="shared" si="16"/>
        <v>3811873.8</v>
      </c>
      <c r="R65" s="30">
        <f t="shared" si="6"/>
        <v>113.68778417183046</v>
      </c>
      <c r="S65" s="16">
        <v>150173.75</v>
      </c>
      <c r="T65" s="30">
        <f t="shared" si="11"/>
        <v>44.788788333639026</v>
      </c>
      <c r="U65" s="56" t="s">
        <v>222</v>
      </c>
    </row>
    <row r="66" spans="1:20" ht="18.75" customHeight="1">
      <c r="A66" s="45" t="s">
        <v>61</v>
      </c>
      <c r="B66" s="27" t="s">
        <v>157</v>
      </c>
      <c r="C66" s="27" t="s">
        <v>125</v>
      </c>
      <c r="D66" s="28" t="s">
        <v>133</v>
      </c>
      <c r="E66" s="29">
        <v>132</v>
      </c>
      <c r="F66" s="16">
        <v>753333.17</v>
      </c>
      <c r="G66" s="16">
        <v>2125540.4</v>
      </c>
      <c r="H66" s="16">
        <f t="shared" si="14"/>
        <v>2878873.57</v>
      </c>
      <c r="I66" s="30">
        <v>13.48</v>
      </c>
      <c r="J66" s="16">
        <v>1855</v>
      </c>
      <c r="K66" s="16">
        <v>779568</v>
      </c>
      <c r="L66" s="16">
        <f t="shared" si="15"/>
        <v>781423</v>
      </c>
      <c r="M66" s="16">
        <v>239037.947</v>
      </c>
      <c r="N66" s="16">
        <v>0</v>
      </c>
      <c r="O66" s="16">
        <f t="shared" si="13"/>
        <v>2390379.4699999997</v>
      </c>
      <c r="P66" s="16">
        <v>0</v>
      </c>
      <c r="Q66" s="16">
        <f t="shared" si="16"/>
        <v>3171802.4699999997</v>
      </c>
      <c r="R66" s="30">
        <f t="shared" si="6"/>
        <v>110.17512207040062</v>
      </c>
      <c r="S66" s="16">
        <v>109489.1</v>
      </c>
      <c r="T66" s="30">
        <f t="shared" si="11"/>
        <v>38.03192371521894</v>
      </c>
    </row>
    <row r="67" spans="1:20" ht="18.75" customHeight="1">
      <c r="A67" s="45" t="s">
        <v>62</v>
      </c>
      <c r="B67" s="27" t="s">
        <v>175</v>
      </c>
      <c r="C67" s="27" t="s">
        <v>125</v>
      </c>
      <c r="D67" s="28" t="s">
        <v>104</v>
      </c>
      <c r="E67" s="29">
        <v>135</v>
      </c>
      <c r="F67" s="16">
        <v>1674250.55</v>
      </c>
      <c r="G67" s="16">
        <v>2837313.82</v>
      </c>
      <c r="H67" s="16">
        <f t="shared" si="14"/>
        <v>4511564.37</v>
      </c>
      <c r="I67" s="30">
        <v>13.19</v>
      </c>
      <c r="J67" s="16">
        <v>0</v>
      </c>
      <c r="K67" s="16">
        <v>0</v>
      </c>
      <c r="L67" s="16">
        <f t="shared" si="15"/>
        <v>0</v>
      </c>
      <c r="M67" s="16">
        <v>541585.05</v>
      </c>
      <c r="N67" s="16">
        <v>0</v>
      </c>
      <c r="O67" s="16">
        <f t="shared" si="13"/>
        <v>5415850.5</v>
      </c>
      <c r="P67" s="16">
        <v>0</v>
      </c>
      <c r="Q67" s="16">
        <f t="shared" si="16"/>
        <v>5415850.5</v>
      </c>
      <c r="R67" s="30">
        <f t="shared" si="6"/>
        <v>120.04373773348156</v>
      </c>
      <c r="S67" s="16">
        <v>184417.63</v>
      </c>
      <c r="T67" s="30">
        <f t="shared" si="11"/>
        <v>40.876648292175425</v>
      </c>
    </row>
    <row r="68" spans="1:20" ht="18.75" customHeight="1">
      <c r="A68" s="45" t="s">
        <v>63</v>
      </c>
      <c r="B68" s="27" t="s">
        <v>157</v>
      </c>
      <c r="C68" s="27" t="s">
        <v>176</v>
      </c>
      <c r="D68" s="28" t="s">
        <v>177</v>
      </c>
      <c r="E68" s="29">
        <v>127</v>
      </c>
      <c r="F68" s="16">
        <v>789930.75</v>
      </c>
      <c r="G68" s="16">
        <v>1951242.29</v>
      </c>
      <c r="H68" s="16">
        <f t="shared" si="14"/>
        <v>2741173.04</v>
      </c>
      <c r="I68" s="30">
        <v>13.28</v>
      </c>
      <c r="J68" s="16">
        <v>8334</v>
      </c>
      <c r="K68" s="16">
        <v>0</v>
      </c>
      <c r="L68" s="16">
        <f t="shared" si="15"/>
        <v>8334</v>
      </c>
      <c r="M68" s="16">
        <v>322385.93</v>
      </c>
      <c r="N68" s="16">
        <v>48250</v>
      </c>
      <c r="O68" s="16">
        <f t="shared" si="13"/>
        <v>3272109.3</v>
      </c>
      <c r="P68" s="16">
        <v>0</v>
      </c>
      <c r="Q68" s="16">
        <f t="shared" si="16"/>
        <v>3280443.3</v>
      </c>
      <c r="R68" s="30">
        <f t="shared" si="6"/>
        <v>119.67297401991082</v>
      </c>
      <c r="S68" s="16">
        <v>124331.95</v>
      </c>
      <c r="T68" s="30">
        <f t="shared" si="11"/>
        <v>45.357205906271425</v>
      </c>
    </row>
    <row r="69" spans="1:20" ht="18.75" customHeight="1">
      <c r="A69" s="45" t="s">
        <v>64</v>
      </c>
      <c r="B69" s="27" t="s">
        <v>155</v>
      </c>
      <c r="C69" s="27" t="s">
        <v>149</v>
      </c>
      <c r="D69" s="28" t="s">
        <v>178</v>
      </c>
      <c r="E69" s="29">
        <v>117</v>
      </c>
      <c r="F69" s="16">
        <v>185730.63</v>
      </c>
      <c r="G69" s="16">
        <v>1044229.27</v>
      </c>
      <c r="H69" s="16">
        <f t="shared" si="14"/>
        <v>1229959.9</v>
      </c>
      <c r="I69" s="30">
        <v>13.17</v>
      </c>
      <c r="J69" s="16">
        <v>138178</v>
      </c>
      <c r="K69" s="16">
        <v>0</v>
      </c>
      <c r="L69" s="16">
        <f t="shared" si="15"/>
        <v>138178</v>
      </c>
      <c r="M69" s="16">
        <v>119991.51</v>
      </c>
      <c r="N69" s="16">
        <v>0</v>
      </c>
      <c r="O69" s="16">
        <f t="shared" si="13"/>
        <v>1199915.0999999999</v>
      </c>
      <c r="P69" s="16">
        <v>0</v>
      </c>
      <c r="Q69" s="16">
        <f t="shared" si="16"/>
        <v>1338093.0999999999</v>
      </c>
      <c r="R69" s="30">
        <f t="shared" si="6"/>
        <v>108.79160369374644</v>
      </c>
      <c r="S69" s="16">
        <v>52640.37</v>
      </c>
      <c r="T69" s="30">
        <f t="shared" si="11"/>
        <v>42.79844407935576</v>
      </c>
    </row>
    <row r="70" spans="1:20" ht="18.75" customHeight="1">
      <c r="A70" s="45" t="s">
        <v>179</v>
      </c>
      <c r="B70" s="27" t="s">
        <v>180</v>
      </c>
      <c r="C70" s="27" t="s">
        <v>180</v>
      </c>
      <c r="D70" s="28" t="s">
        <v>181</v>
      </c>
      <c r="E70" s="29">
        <v>1</v>
      </c>
      <c r="F70" s="16">
        <v>121.71</v>
      </c>
      <c r="G70" s="16">
        <v>0</v>
      </c>
      <c r="H70" s="16">
        <f t="shared" si="14"/>
        <v>121.71</v>
      </c>
      <c r="I70" s="30">
        <v>13.07</v>
      </c>
      <c r="J70" s="16">
        <v>0</v>
      </c>
      <c r="K70" s="16">
        <v>0</v>
      </c>
      <c r="L70" s="16">
        <f t="shared" si="15"/>
        <v>0</v>
      </c>
      <c r="M70" s="16">
        <v>0</v>
      </c>
      <c r="N70" s="16">
        <v>0</v>
      </c>
      <c r="O70" s="16">
        <f t="shared" si="13"/>
        <v>0</v>
      </c>
      <c r="P70" s="16">
        <v>0</v>
      </c>
      <c r="Q70" s="16">
        <f t="shared" si="16"/>
        <v>0</v>
      </c>
      <c r="R70" s="30">
        <f t="shared" si="6"/>
        <v>0</v>
      </c>
      <c r="S70" s="16">
        <v>0</v>
      </c>
      <c r="T70" s="30">
        <f t="shared" si="11"/>
        <v>0</v>
      </c>
    </row>
    <row r="71" spans="1:20" ht="18.75" customHeight="1">
      <c r="A71" s="46" t="s">
        <v>17</v>
      </c>
      <c r="B71" s="35"/>
      <c r="C71" s="35"/>
      <c r="D71" s="31"/>
      <c r="E71" s="32"/>
      <c r="F71" s="33">
        <f>SUM(F50:F70)</f>
        <v>24220865.315</v>
      </c>
      <c r="G71" s="33">
        <f>SUM(G50:G70)</f>
        <v>36226435.25</v>
      </c>
      <c r="H71" s="33">
        <f>SUM(H50:H70)</f>
        <v>60447300.565000005</v>
      </c>
      <c r="I71" s="17">
        <f>((H50*I50)+(H51*I51)+(H52*I52)+(H53*I53)+(H54*I54)+(H55*I55)+(H56*I56)+(H57*I57)+(H58*I58)+(H59*I59)+(H60*I60)+(H61*I61)+(H62*I62)+(H63*I63)+(H64*I64)+(H65*I65)+(H66*I66)+(H67*I67)+(H68*I68)+(H69*I69)+(H70*I70))/H71</f>
        <v>13.479947028576625</v>
      </c>
      <c r="J71" s="33">
        <f>SUM(J50:J70)</f>
        <v>3748141.01</v>
      </c>
      <c r="K71" s="33">
        <f>SUM(K50:K70)</f>
        <v>10647233.049999999</v>
      </c>
      <c r="L71" s="33">
        <f>SUM(L50:L70)</f>
        <v>14395374.059999999</v>
      </c>
      <c r="M71" s="33">
        <f>SUM(M50:M70)</f>
        <v>5548887.833999999</v>
      </c>
      <c r="N71" s="33">
        <f>SUM(N50:N70)</f>
        <v>621086.45</v>
      </c>
      <c r="O71" s="33">
        <f>(M71*10)+N71</f>
        <v>56109964.78999999</v>
      </c>
      <c r="P71" s="33">
        <f>SUM(P50:P70)</f>
        <v>787829.9789</v>
      </c>
      <c r="Q71" s="33">
        <f>SUM(Q50:Q70)</f>
        <v>71293168.82889998</v>
      </c>
      <c r="R71" s="17">
        <f t="shared" si="6"/>
        <v>117.94268422663015</v>
      </c>
      <c r="S71" s="33">
        <f>SUM(S50:S70)</f>
        <v>2693176.7150000003</v>
      </c>
      <c r="T71" s="17">
        <f t="shared" si="11"/>
        <v>44.55412714590922</v>
      </c>
    </row>
    <row r="72" spans="1:20" ht="18.75" customHeight="1">
      <c r="A72" s="46" t="s">
        <v>65</v>
      </c>
      <c r="B72" s="35"/>
      <c r="C72" s="35"/>
      <c r="D72" s="31"/>
      <c r="E72" s="32"/>
      <c r="F72" s="33">
        <f>F71+F48+F41+F19</f>
        <v>50938793.865</v>
      </c>
      <c r="G72" s="33">
        <f>G71+G48+G41+G19</f>
        <v>80031209.74</v>
      </c>
      <c r="H72" s="33">
        <f>H71+H48+H41+H19</f>
        <v>130970003.60500002</v>
      </c>
      <c r="I72" s="17">
        <f>((H19*I19)+(H41*I41)+(H48*I48)+(H71*I71))/H72</f>
        <v>12.64460869570921</v>
      </c>
      <c r="J72" s="33">
        <f>J71+J48+J41+J19</f>
        <v>9888235.76</v>
      </c>
      <c r="K72" s="33">
        <f>K71+K48+K41+K19</f>
        <v>22927982.979999997</v>
      </c>
      <c r="L72" s="33">
        <f>L71+L48+L41+L19</f>
        <v>32816218.740000002</v>
      </c>
      <c r="M72" s="33">
        <f>M71+M48+M41+M19</f>
        <v>10999444.503999999</v>
      </c>
      <c r="N72" s="33">
        <f>N71+N48+N41+N19</f>
        <v>1009527.2</v>
      </c>
      <c r="O72" s="33">
        <f>(M72*10)+N72</f>
        <v>111003972.24</v>
      </c>
      <c r="P72" s="33">
        <f>P71+P48+P41+P19</f>
        <v>1986515.0247</v>
      </c>
      <c r="Q72" s="33">
        <f>L72+O72+P72</f>
        <v>145806706.00469998</v>
      </c>
      <c r="R72" s="17">
        <f>Q72*100/H72</f>
        <v>111.32832098290753</v>
      </c>
      <c r="S72" s="33">
        <f>S19+S41+S48+S71</f>
        <v>5875962.0623</v>
      </c>
      <c r="T72" s="17">
        <f>S72*1000/H72</f>
        <v>44.86494541163527</v>
      </c>
    </row>
    <row r="73" spans="1:2" ht="18.75" customHeight="1">
      <c r="A73" s="7" t="s">
        <v>66</v>
      </c>
      <c r="B73" s="47" t="s">
        <v>94</v>
      </c>
    </row>
    <row r="74" ht="18.75" customHeight="1">
      <c r="B74" s="50" t="s">
        <v>219</v>
      </c>
    </row>
    <row r="75" ht="18.75" customHeight="1">
      <c r="B75" s="48" t="s">
        <v>215</v>
      </c>
    </row>
    <row r="76" ht="18.75" customHeight="1">
      <c r="B76" s="48" t="s">
        <v>216</v>
      </c>
    </row>
    <row r="77" ht="18.75" customHeight="1">
      <c r="B77" s="48" t="s">
        <v>208</v>
      </c>
    </row>
    <row r="78" ht="18.75" customHeight="1">
      <c r="B78" s="48" t="s">
        <v>182</v>
      </c>
    </row>
    <row r="79" ht="18.75" customHeight="1">
      <c r="B79" s="48" t="s">
        <v>209</v>
      </c>
    </row>
    <row r="80" ht="18.75" customHeight="1">
      <c r="B80" s="48" t="s">
        <v>210</v>
      </c>
    </row>
    <row r="81" ht="18.75" customHeight="1">
      <c r="B81" s="48" t="s">
        <v>214</v>
      </c>
    </row>
    <row r="82" ht="18.75" customHeight="1">
      <c r="B82" s="48" t="s">
        <v>211</v>
      </c>
    </row>
    <row r="83" spans="2:15" ht="18.75" customHeight="1">
      <c r="B83" s="48" t="s">
        <v>221</v>
      </c>
      <c r="O83" s="55"/>
    </row>
    <row r="84" spans="2:15" ht="18.75" customHeight="1">
      <c r="B84" s="48" t="s">
        <v>183</v>
      </c>
      <c r="O84" s="55"/>
    </row>
    <row r="85" ht="18.75" customHeight="1">
      <c r="B85" s="48" t="s">
        <v>184</v>
      </c>
    </row>
    <row r="86" ht="18.75" customHeight="1">
      <c r="B86" s="48" t="s">
        <v>185</v>
      </c>
    </row>
    <row r="87" ht="18.75" customHeight="1">
      <c r="B87" s="48" t="s">
        <v>186</v>
      </c>
    </row>
    <row r="88" ht="18.75" customHeight="1">
      <c r="B88" s="48" t="s">
        <v>187</v>
      </c>
    </row>
    <row r="89" ht="18.75" customHeight="1">
      <c r="B89" s="48" t="s">
        <v>188</v>
      </c>
    </row>
    <row r="90" ht="18.75" customHeight="1">
      <c r="B90" s="48" t="s">
        <v>189</v>
      </c>
    </row>
    <row r="91" ht="18.75" customHeight="1">
      <c r="B91" s="48" t="s">
        <v>190</v>
      </c>
    </row>
    <row r="92" ht="18.75" customHeight="1">
      <c r="B92" s="48" t="s">
        <v>191</v>
      </c>
    </row>
    <row r="93" ht="18.75" customHeight="1">
      <c r="B93" s="48" t="s">
        <v>192</v>
      </c>
    </row>
    <row r="94" ht="18.75" customHeight="1">
      <c r="B94" s="48" t="s">
        <v>193</v>
      </c>
    </row>
    <row r="95" ht="18.75" customHeight="1">
      <c r="B95" s="48" t="s">
        <v>194</v>
      </c>
    </row>
    <row r="96" ht="18.75" customHeight="1">
      <c r="B96" s="48" t="s">
        <v>195</v>
      </c>
    </row>
    <row r="97" ht="18.75" customHeight="1">
      <c r="B97" s="48" t="s">
        <v>196</v>
      </c>
    </row>
    <row r="98" ht="18.75" customHeight="1">
      <c r="B98" s="48" t="s">
        <v>197</v>
      </c>
    </row>
    <row r="99" ht="18.75" customHeight="1">
      <c r="B99" s="48" t="s">
        <v>198</v>
      </c>
    </row>
    <row r="100" ht="18.75" customHeight="1">
      <c r="B100" s="48" t="s">
        <v>199</v>
      </c>
    </row>
    <row r="101" ht="18.75" customHeight="1">
      <c r="B101" s="48" t="s">
        <v>200</v>
      </c>
    </row>
    <row r="102" ht="18.75" customHeight="1">
      <c r="B102" s="48" t="s">
        <v>201</v>
      </c>
    </row>
    <row r="103" ht="18.75" customHeight="1">
      <c r="B103" s="48" t="s">
        <v>202</v>
      </c>
    </row>
    <row r="104" ht="18.75" customHeight="1">
      <c r="B104" s="48" t="s">
        <v>203</v>
      </c>
    </row>
    <row r="105" ht="18.75" customHeight="1">
      <c r="B105" s="48" t="s">
        <v>204</v>
      </c>
    </row>
    <row r="106" ht="18.75" customHeight="1">
      <c r="B106" s="48" t="s">
        <v>205</v>
      </c>
    </row>
    <row r="107" ht="18.75" customHeight="1">
      <c r="B107" s="47" t="s">
        <v>223</v>
      </c>
    </row>
    <row r="108" spans="1:2" ht="18.75" customHeight="1">
      <c r="A108" s="20"/>
      <c r="B108" s="48" t="s">
        <v>224</v>
      </c>
    </row>
    <row r="109" spans="1:2" ht="18.75" customHeight="1">
      <c r="A109" s="20"/>
      <c r="B109" s="48" t="s">
        <v>225</v>
      </c>
    </row>
    <row r="110" spans="1:2" ht="18.75" customHeight="1">
      <c r="A110" s="20"/>
      <c r="B110" s="48" t="s">
        <v>226</v>
      </c>
    </row>
    <row r="111" spans="1:2" ht="18.75" customHeight="1">
      <c r="A111" s="20"/>
      <c r="B111" s="48" t="s">
        <v>227</v>
      </c>
    </row>
    <row r="112" spans="1:2" ht="18.75" customHeight="1">
      <c r="A112" s="20"/>
      <c r="B112" s="48" t="s">
        <v>228</v>
      </c>
    </row>
    <row r="113" spans="1:2" ht="18.75" customHeight="1">
      <c r="A113" s="20"/>
      <c r="B113" s="48" t="s">
        <v>229</v>
      </c>
    </row>
    <row r="114" spans="1:2" ht="18.75" customHeight="1">
      <c r="A114" s="20"/>
      <c r="B114" s="48" t="s">
        <v>230</v>
      </c>
    </row>
    <row r="115" ht="18.75" customHeight="1">
      <c r="B115" s="48" t="s">
        <v>231</v>
      </c>
    </row>
    <row r="116" spans="1:2" ht="18.75" customHeight="1">
      <c r="A116" s="20"/>
      <c r="B116" s="48" t="s">
        <v>232</v>
      </c>
    </row>
    <row r="117" ht="18.75" customHeight="1">
      <c r="B117" s="48" t="s">
        <v>233</v>
      </c>
    </row>
    <row r="118" ht="18.75" customHeight="1">
      <c r="B118" s="57" t="s">
        <v>234</v>
      </c>
    </row>
    <row r="119" spans="1:2" ht="18.75" customHeight="1">
      <c r="A119" s="20"/>
      <c r="B119" s="48"/>
    </row>
    <row r="120" ht="18.75" customHeight="1">
      <c r="A120" s="20"/>
    </row>
    <row r="121" ht="18.75" customHeight="1">
      <c r="A121" s="20"/>
    </row>
    <row r="122" ht="18.75" customHeight="1">
      <c r="A122" s="20"/>
    </row>
    <row r="123" spans="1:7" ht="18.75" customHeight="1">
      <c r="A123" s="20"/>
      <c r="G123" s="21"/>
    </row>
    <row r="124" ht="18.75" customHeight="1">
      <c r="A124" s="20"/>
    </row>
    <row r="125" ht="18.75" customHeight="1">
      <c r="A125" s="20"/>
    </row>
    <row r="126" ht="18.75" customHeight="1">
      <c r="A126" s="20"/>
    </row>
    <row r="127" ht="18.75" customHeight="1">
      <c r="H127" s="20"/>
    </row>
    <row r="128" spans="8:12" ht="18.75" customHeight="1">
      <c r="H128" s="20"/>
      <c r="L128" s="24"/>
    </row>
    <row r="129" spans="8:12" ht="18.75" customHeight="1">
      <c r="H129" s="20"/>
      <c r="L129" s="24"/>
    </row>
    <row r="130" spans="8:11" ht="18.75" customHeight="1">
      <c r="H130" s="58"/>
      <c r="K130" s="22"/>
    </row>
    <row r="131" spans="8:11" ht="18.75" customHeight="1">
      <c r="H131" s="58"/>
      <c r="K131" s="22"/>
    </row>
    <row r="132" spans="8:12" ht="18.75" customHeight="1">
      <c r="H132" s="20"/>
      <c r="L132" s="23"/>
    </row>
    <row r="133" spans="1:8" ht="18.75" customHeight="1">
      <c r="A133" s="20"/>
      <c r="H133" s="20"/>
    </row>
    <row r="134" ht="18.75" customHeight="1">
      <c r="L134" s="23"/>
    </row>
  </sheetData>
  <sheetProtection/>
  <printOptions/>
  <pageMargins left="0.47" right="0.15748031496062992" top="0.97" bottom="0.1968503937007874" header="0.15748031496062992" footer="0.15748031496062992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academic</cp:lastModifiedBy>
  <cp:lastPrinted>2019-05-28T06:52:13Z</cp:lastPrinted>
  <dcterms:created xsi:type="dcterms:W3CDTF">2017-05-05T03:19:15Z</dcterms:created>
  <dcterms:modified xsi:type="dcterms:W3CDTF">2019-05-29T08:13:03Z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01734361CD07C3C85B968AA4B2781C480C131A4BF1DCCE0484255B1E26629C81B57DF7C6AC3CE480EA67B76B1AEFE2BF66B04F08C88E9995EE9BF8BD2EE0745BDE8E0D99BDDB2C4B54D43B67C682AABECA1F2DF4CE039F183098397579CE4FBA3FC917D171E53419FF4CC71AFA652AD83B1065BA663E1A2BF1A94DCA2B48368</vt:lpwstr>
  </property>
  <property fmtid="{D5CDD505-2E9C-101B-9397-08002B2CF9AE}" pid="3" name="Business Objects Context Information1">
    <vt:lpwstr>B00AB90EDCC8F1A758DA9F70480DD9E96B93841941A6B75384BFA58E5E4CCBE92D55D1136D7FC3CE78E9BDD79C3AA494A820142E0F6A757B0B492E7C2B2A4511ED176F07457ED6E29EBDE2DE45D187C6CF480BFDD24F01A7FBBFC6C01E22502B85AE6B8DB8DED63750B153FB35BFCAFC4BA75D97BF8564BDBE92302AC975717</vt:lpwstr>
  </property>
  <property fmtid="{D5CDD505-2E9C-101B-9397-08002B2CF9AE}" pid="4" name="Business Objects Context Information2">
    <vt:lpwstr>3C508DA50B7DA4F6D18AC6D53BEB2A04AFAA46E55C399A1C93E58F62AC03FB4714A82C86D406F861ACE73BEB8F783ACA4224C3B1FEBD1FFFFF573C390765D7AAEFE05A50BDAF52B4592F5569418F710B8AD6BA9B5CB7E252B08D16DC25F304D6A564CF8255449542EF8902D307952A4C81452130E4D7810B7FBB80BA30BBFDE</vt:lpwstr>
  </property>
  <property fmtid="{D5CDD505-2E9C-101B-9397-08002B2CF9AE}" pid="5" name="Business Objects Context Information3">
    <vt:lpwstr>53A9654E02C207A3EABA2CFD5AC4E2698F1A865ED9DF950634FAA2C8DF5A785EE8F3765128DBC952115F0F10D83E06377F5DCF4643DBAF6396B8BD4FBBB246EF18ED655E40588071E8F3B75A5FD1E9FBE3E559D901CBBE05E650CC774BE35B0CD5D71768E776BB9465786D5FBE9431292705B4597F2140FC59276F5434F6539</vt:lpwstr>
  </property>
  <property fmtid="{D5CDD505-2E9C-101B-9397-08002B2CF9AE}" pid="6" name="Business Objects Context Information4">
    <vt:lpwstr>A6C53B4485000554FA2A92B4939C9D5D6B37AD9896E23FC7C7A9E30E7282AEB76F880288D08FD92B87696A161D75B32613F7643A98AA12D8C9810DD3B78F6E75326BD0FCBCD66766EC291D296AD2B133198733C6164CB9E44C52EEA1A737B414630CFA1F142EDF26B9FBB1C713AA56D8FB445A4433AB4CEB7831AFF5E64CD10</vt:lpwstr>
  </property>
  <property fmtid="{D5CDD505-2E9C-101B-9397-08002B2CF9AE}" pid="7" name="Business Objects Context Information5">
    <vt:lpwstr>5198C272C25570B33ADF9E5D7940B4BE04607DC087CDB9A5F902D6BC454CC0A846F4B2F85BD0E304EFB7A2BCFCD5C214385BC0BCD805811F7EE1CDFCE9C3F429D709931577284DCBAC6729103794A932EB6BD0B1CB2CFA6717DDD14A5FBB996C027AD7BD2E1B0457341DF4491F891A681E9443A35DC052A2A5D5515902E72AF</vt:lpwstr>
  </property>
  <property fmtid="{D5CDD505-2E9C-101B-9397-08002B2CF9AE}" pid="8" name="Business Objects Context Information6">
    <vt:lpwstr>067FCE7EE50D1F6E1044DEB6C55822FA7308BD1A</vt:lpwstr>
  </property>
</Properties>
</file>